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АИС Инвест\Замечания к Сметным расчет от Силина 06.06.2019\"/>
    </mc:Choice>
  </mc:AlternateContent>
  <bookViews>
    <workbookView xWindow="3945" yWindow="435" windowWidth="18030" windowHeight="6180" tabRatio="765" activeTab="10"/>
  </bookViews>
  <sheets>
    <sheet name="Расчет стоимости" sheetId="14" r:id="rId1"/>
    <sheet name="Снижение" sheetId="16" state="hidden" r:id="rId2"/>
    <sheet name="НМЦ лота" sheetId="17" state="hidden" r:id="rId3"/>
    <sheet name="ССР" sheetId="4" state="hidden" r:id="rId4"/>
    <sheet name="Таблица" sheetId="15" state="hidden" r:id="rId5"/>
    <sheet name="Регионы" sheetId="5" state="hidden" r:id="rId6"/>
    <sheet name="НМЦ лота на ПИР" sheetId="20" state="hidden" r:id="rId7"/>
    <sheet name="НМЦ лота &quot;под ключ&quot;" sheetId="21" state="hidden" r:id="rId8"/>
    <sheet name="Калькуляция для выноса" sheetId="18" state="hidden" r:id="rId9"/>
    <sheet name="Лист1" sheetId="22" state="hidden" r:id="rId10"/>
    <sheet name="Расчет с НДС" sheetId="23" r:id="rId11"/>
    <sheet name="Удельники" sheetId="19" state="hidden" r:id="rId12"/>
  </sheets>
  <externalReferences>
    <externalReference r:id="rId13"/>
    <externalReference r:id="rId14"/>
  </externalReferences>
  <definedNames>
    <definedName name="_xlnm._FilterDatabase" localSheetId="4" hidden="1">Таблица!$L$1:$L$718</definedName>
    <definedName name="Большие_переходы">Таблица!$B$147:$B$155</definedName>
    <definedName name="ветер" localSheetId="9">[1]Таблица!$O$23:$O$24</definedName>
    <definedName name="ветер">Таблица!$O$23:$O$24</definedName>
    <definedName name="Воздушные_линии" localSheetId="9">[1]Таблица!$B$6:$B$81</definedName>
    <definedName name="Воздушные_линии">Таблица!$B$6:$B$81</definedName>
    <definedName name="Восстановление_покрытий" localSheetId="9">[1]Таблица!$B$354:$B$358</definedName>
    <definedName name="Восстановление_покрытий">Таблица!$B$354:$B$358</definedName>
    <definedName name="Выключатели" comment="Типы силовых выключателей" localSheetId="9">[1]Таблица!$B$479:$B$498</definedName>
    <definedName name="Выключатели" comment="Типы силовых выключателей">Таблица!$B$479:$B$498</definedName>
    <definedName name="Демонтаж_ВЛ" localSheetId="9">[1]Таблица!$B$149:$B$169</definedName>
    <definedName name="Демонтаж_ВЛ">Таблица!$B$149:$B$169</definedName>
    <definedName name="Демонтаж_ВЛ_0_4_10_кВ_поопорно" localSheetId="9">[1]Таблица!$B$172:$B$179</definedName>
    <definedName name="Демонтаж_ВЛ_0_4_10_кВ_поопорно">Таблица!$B$172:$B$179</definedName>
    <definedName name="Демонтаж_ж_б_опор_ВЛ_35_220_кВ__тыс._руб._за_1_м3" localSheetId="9">[1]Таблица!$B$182:$B$190</definedName>
    <definedName name="Демонтаж_ж_б_опор_ВЛ_35_220_кВ__тыс._руб._за_1_м3">Таблица!$B$182:$B$190</definedName>
    <definedName name="Демонтаж_зданий" localSheetId="9">[1]Таблица!#REF!</definedName>
    <definedName name="Демонтаж_зданий">Таблица!#REF!</definedName>
    <definedName name="Демонтаж_оборудования_ПС" localSheetId="9">[1]Таблица!$B$612:$B$663</definedName>
    <definedName name="Демонтаж_оборудования_ПС">Таблица!$B$612:$B$663</definedName>
    <definedName name="Демонтаж_стальных_опор_ВЛ_35_220_кВ__тыс._руб._за_1_т" localSheetId="9">[1]Таблица!$B$193:$B$201</definedName>
    <definedName name="Демонтаж_стальных_опор_ВЛ_35_220_кВ__тыс._руб._за_1_т">Таблица!$B$193:$B$201</definedName>
    <definedName name="Закрытые_подстанции_35_220_кВ_с_открытой_установкой_трансформаторов__элегазовое_и_зарубежное_оборудование">Таблица!$B$421:$B$430</definedName>
    <definedName name="Закрытые_подстанции_в_целом" localSheetId="9">[1]Таблица!$B$409:$B$418</definedName>
    <definedName name="Закрытые_подстанции_в_целом">Таблица!$B$409:$B$418</definedName>
    <definedName name="Затраты_на_вырубку_просеки" localSheetId="9">[1]Таблица!$B$109:$B$112</definedName>
    <definedName name="Затраты_на_вырубку_просеки">Таблица!$B$109:$B$112</definedName>
    <definedName name="Затраты_на_устройство_лежневых_дорог" localSheetId="9">[1]Таблица!$B$113:$B$122</definedName>
    <definedName name="Затраты_на_устройство_лежневых_дорог">Таблица!$B$113:$B$122</definedName>
    <definedName name="Здания_КРУЭ__ЗРУ__укомплектованных_оборудованием" localSheetId="9">[1]Таблица!$B$694:$B$697</definedName>
    <definedName name="Здания_КРУЭ__ЗРУ__укомплектованных_оборудованием">Таблица!$B$694:$B$697</definedName>
    <definedName name="Зоны" localSheetId="9">[1]Регионы!$HN$5:$IQ$5</definedName>
    <definedName name="Зоны">Регионы!$HN$5:$IQ$5</definedName>
    <definedName name="Кабельные_линии" localSheetId="9">[1]Таблица!$B$205:$B$339</definedName>
    <definedName name="Кабельные_линии">Таблица!$B$205:$B$339</definedName>
    <definedName name="Кварталы" localSheetId="9">[1]Регионы!$B$154:$B$182</definedName>
    <definedName name="Кварталы">Регионы!$B$154:$B$182</definedName>
    <definedName name="Компенсаторы" localSheetId="9">[1]Таблица!$B$544:$B$559</definedName>
    <definedName name="Компенсаторы">Таблица!$B$544:$B$559</definedName>
    <definedName name="Комплектные_трансформаторные_устройства" localSheetId="9">[1]Таблица!$B$132:$B$146</definedName>
    <definedName name="Комплектные_трансформаторные_устройства">Таблица!$B$132:$B$146</definedName>
    <definedName name="_xlnm.Print_Area" localSheetId="8">'Калькуляция для выноса'!$A$1:$C$13</definedName>
    <definedName name="_xlnm.Print_Area" localSheetId="2">'НМЦ лота'!$B$2:$L$56</definedName>
    <definedName name="_xlnm.Print_Area" localSheetId="6">'НМЦ лота на ПИР'!$A$1:$F$28</definedName>
    <definedName name="_xlnm.Print_Area" localSheetId="0">'Расчет стоимости'!$A$4:$R$391</definedName>
    <definedName name="_xlnm.Print_Area" localSheetId="1">Снижение!$B$4:$X$39</definedName>
    <definedName name="_xlnm.Print_Area" localSheetId="3">ССР!$A$7:$G$89</definedName>
    <definedName name="ОРУ_по_блочным_и_мостиковым_схемам" localSheetId="9">[1]Таблица!$B$465:$B$476</definedName>
    <definedName name="ОРУ_по_блочным_и_мостиковым_схемам">Таблица!$B$465:$B$476</definedName>
    <definedName name="Отвод_земель_ПС_20" localSheetId="9">[1]Таблица!$B$666:$B$672</definedName>
    <definedName name="Отвод_земель_ПС_20">Таблица!$B$666:$B$672</definedName>
    <definedName name="Отвод_земель_ПС_35_220" localSheetId="9">[1]Таблица!$B$675:$B$692</definedName>
    <definedName name="Отвод_земель_ПС_35_220">Таблица!$B$675:$B$692</definedName>
    <definedName name="Открытые_подстанции_35_220_кВ_в_целом__элегазовое_и_зарубежное_оборудование" localSheetId="9">[1]Таблица!$B$388:$B$406</definedName>
    <definedName name="Открытые_подстанции_35_220_кВ_в_целом__элегазовое_и_зарубежное_оборудование">Таблица!$B$388:$B$406</definedName>
    <definedName name="Открытые_подстанции_в_целом" localSheetId="9">[1]Таблица!$B$367:$B$385</definedName>
    <definedName name="Открытые_подстанции_в_целом">Таблица!$B$367:$B$385</definedName>
    <definedName name="Под_напр_ВЛ" localSheetId="9">[1]Таблица!$O$30</definedName>
    <definedName name="Под_напр_ВЛ">Таблица!$O$30</definedName>
    <definedName name="Под_напр_КЛ" localSheetId="9">[1]Таблица!$P$30</definedName>
    <definedName name="Под_напр_КЛ">Таблица!$P$30</definedName>
    <definedName name="Подвеска_ВОЛС_на_существующих_опорах" localSheetId="9">[1]Таблица!$B$125:$B$129</definedName>
    <definedName name="Подвеска_ВОЛС_на_существующих_опорах">Таблица!$B$125:$B$129</definedName>
    <definedName name="Постоянная_часть_закрытых_ПС" localSheetId="9">[1]Таблица!$B$445:$B$450</definedName>
    <definedName name="Постоянная_часть_закрытых_ПС">Таблица!$B$445:$B$450</definedName>
    <definedName name="Постоянная_часть_открытых_ПС" localSheetId="9">[1]Таблица!$B$433:$B$442</definedName>
    <definedName name="Постоянная_часть_открытых_ПС">Таблица!$B$433:$B$442</definedName>
    <definedName name="Постоянный_отвод_земель_ВЛ" localSheetId="9">[1]Таблица!$B$88:$B$106</definedName>
    <definedName name="Постоянный_отвод_земель_ВЛ">Таблица!$B$88:$B$106</definedName>
    <definedName name="Постоянный_отвод_земель_под_КЛ" localSheetId="9">[1]Таблица!$B$715:$B$718</definedName>
    <definedName name="Постоянный_отвод_земель_под_КЛ">Таблица!$B$715:$B$718</definedName>
    <definedName name="пппппп">[2]Таблица!$R$26:$R$28</definedName>
    <definedName name="Прокладка_ВОЛС_в_траншее" localSheetId="9">[1]Таблица!$B$361:$B$363</definedName>
    <definedName name="Прокладка_ВОЛС_в_траншее">Таблица!$B$361:$B$363</definedName>
    <definedName name="Противоаварийная_автоматика_ПС" localSheetId="9">[1]Таблица!$B$453:$B$462</definedName>
    <definedName name="Противоаварийная_автоматика_ПС">Таблица!$B$453:$B$462</definedName>
    <definedName name="Расчет_реконструкции" localSheetId="9">[1]Таблица!$M$7:$M$8</definedName>
    <definedName name="Расчет_реконструкции">Таблица!$M$7:$M$8</definedName>
    <definedName name="Расширение_ПС" localSheetId="9">[1]Таблица!$M$9:$M$10</definedName>
    <definedName name="Расширение_ПС">Таблица!$M$9:$M$10</definedName>
    <definedName name="Реакторы" localSheetId="9">[1]Таблица!$B$562:$B$609</definedName>
    <definedName name="Реакторы">Таблица!$B$562:$B$609</definedName>
    <definedName name="Регионы" comment="Наименования регионов РФ" localSheetId="9">[1]Регионы!$B$6:$B$90</definedName>
    <definedName name="Регионы" comment="Наименования регионов РФ">Регионы!$B$6:$B$90</definedName>
    <definedName name="Регионы_таблица">Регионы!$B$6:$R$90</definedName>
    <definedName name="Сегменты" localSheetId="9">[1]Регионы!$HL$6:$HL$8</definedName>
    <definedName name="Сегменты">Регионы!$HL$6:$HL$8</definedName>
    <definedName name="Сейсмика_зданий" localSheetId="9">[1]Таблица!$R$26:$R$28</definedName>
    <definedName name="Сейсмика_зданий">Таблица!$R$26:$R$28</definedName>
    <definedName name="Сейсмика_линий" localSheetId="9">[1]Таблица!$O$26:$O$28</definedName>
    <definedName name="Сейсмика_линий">Таблица!$O$26:$O$28</definedName>
    <definedName name="Снижение_стоимости_двухцепной_ВЛ" localSheetId="9">[1]Таблица!#REF!</definedName>
    <definedName name="Снижение_стоимости_двухцепной_ВЛ">Таблица!#REF!</definedName>
    <definedName name="Стоимость_специальных_переходов" localSheetId="9">[1]Таблица!$B$344:$B$351</definedName>
    <definedName name="Стоимость_специальных_переходов">Таблица!$B$344:$B$351</definedName>
    <definedName name="Таблица_индексов" localSheetId="9">[1]Регионы!$B$99:$O$182</definedName>
    <definedName name="Таблица_индексов">Регионы!$B$99:$O$182</definedName>
    <definedName name="Таблица_регионов">Регионы!$B$6:$GL$91</definedName>
    <definedName name="Тип_ПС" localSheetId="9">[1]Таблица!$B$700:$B$701</definedName>
    <definedName name="Тип_ПС">Таблица!$B$700:$B$701</definedName>
    <definedName name="Трансформаторы" localSheetId="9">[1]Таблица!$B$501:$B$541</definedName>
    <definedName name="Трансформаторы">Таблица!$B$501:$B$541</definedName>
    <definedName name="Условия_ВЛ" localSheetId="9">[1]Таблица!$O$13:$O$17</definedName>
    <definedName name="Условия_ВЛ">Таблица!$O$13:$O$17</definedName>
    <definedName name="Условия_КЛ" localSheetId="9">[1]Таблица!$P$15</definedName>
    <definedName name="Условия_КЛ">Таблица!$P$15</definedName>
  </definedNames>
  <calcPr calcId="152511"/>
</workbook>
</file>

<file path=xl/calcChain.xml><?xml version="1.0" encoding="utf-8"?>
<calcChain xmlns="http://schemas.openxmlformats.org/spreadsheetml/2006/main">
  <c r="B8" i="23" l="1"/>
  <c r="U3" i="23"/>
  <c r="Q323" i="14" l="1"/>
  <c r="A3" i="22"/>
  <c r="U8" i="23" l="1"/>
  <c r="V8" i="23" s="1"/>
  <c r="H8" i="23"/>
  <c r="R8" i="23"/>
  <c r="A2" i="22"/>
  <c r="A1" i="22"/>
  <c r="K10" i="22"/>
  <c r="O138" i="14" l="1"/>
  <c r="R221" i="14"/>
  <c r="R222" i="14"/>
  <c r="R223" i="14"/>
  <c r="R20" i="14"/>
  <c r="N255" i="14" l="1"/>
  <c r="P320" i="14" l="1"/>
  <c r="H2" i="21" l="1"/>
  <c r="A39" i="21"/>
  <c r="A38" i="21"/>
  <c r="B33" i="20"/>
  <c r="C6" i="16"/>
  <c r="J259" i="14"/>
  <c r="C387" i="14"/>
  <c r="E8" i="17" l="1"/>
  <c r="D19" i="17" s="1"/>
  <c r="A9" i="21"/>
  <c r="A7" i="21"/>
  <c r="C325" i="14"/>
  <c r="D322" i="14"/>
  <c r="D22" i="17" l="1"/>
  <c r="D20" i="17"/>
  <c r="D18" i="17"/>
  <c r="E2" i="20" l="1"/>
  <c r="C388" i="14" l="1"/>
  <c r="B26" i="21" l="1"/>
  <c r="B25" i="21"/>
  <c r="B24" i="21"/>
  <c r="C8" i="21"/>
  <c r="B22" i="20"/>
  <c r="B21" i="20"/>
  <c r="B20" i="20"/>
  <c r="A9" i="20"/>
  <c r="H41" i="21"/>
  <c r="A41" i="21"/>
  <c r="H39" i="21"/>
  <c r="I4" i="21"/>
  <c r="I3" i="21"/>
  <c r="B34" i="20" l="1"/>
  <c r="F36" i="20"/>
  <c r="B36" i="20"/>
  <c r="F34" i="20"/>
  <c r="E4" i="20"/>
  <c r="G15" i="16"/>
  <c r="J390" i="14"/>
  <c r="C390" i="14"/>
  <c r="J388" i="14"/>
  <c r="Q322" i="14"/>
  <c r="C322" i="14" l="1"/>
  <c r="E157" i="5"/>
  <c r="E158" i="5"/>
  <c r="E159" i="5"/>
  <c r="E160" i="5"/>
  <c r="E161" i="5"/>
  <c r="E162" i="5"/>
  <c r="E163" i="5"/>
  <c r="E164" i="5"/>
  <c r="E165" i="5"/>
  <c r="E166" i="5"/>
  <c r="E167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E133" i="5"/>
  <c r="A7" i="20" l="1"/>
  <c r="E5" i="20" l="1"/>
  <c r="A1" i="18"/>
  <c r="B14" i="4"/>
  <c r="R406" i="14" l="1"/>
  <c r="R405" i="14"/>
  <c r="R404" i="14"/>
  <c r="R403" i="14"/>
  <c r="R402" i="14"/>
  <c r="R401" i="14"/>
  <c r="R400" i="14"/>
  <c r="R399" i="14"/>
  <c r="R398" i="14"/>
  <c r="R208" i="14" l="1"/>
  <c r="R207" i="14"/>
  <c r="R22" i="14" l="1"/>
  <c r="R21" i="14"/>
  <c r="R136" i="14"/>
  <c r="R135" i="14"/>
  <c r="B16" i="4" l="1"/>
  <c r="C5" i="16" l="1"/>
  <c r="B70" i="14" l="1"/>
  <c r="B71" i="14"/>
  <c r="B72" i="14"/>
  <c r="B73" i="14"/>
  <c r="B69" i="14"/>
  <c r="Q70" i="14"/>
  <c r="Q71" i="14"/>
  <c r="Q72" i="14"/>
  <c r="Q73" i="14"/>
  <c r="N70" i="14"/>
  <c r="N71" i="14"/>
  <c r="N72" i="14"/>
  <c r="N73" i="14"/>
  <c r="L70" i="14"/>
  <c r="L71" i="14"/>
  <c r="L72" i="14"/>
  <c r="L73" i="14"/>
  <c r="M73" i="14"/>
  <c r="M72" i="14"/>
  <c r="M71" i="14"/>
  <c r="M70" i="14"/>
  <c r="O69" i="14"/>
  <c r="O70" i="14"/>
  <c r="O71" i="14"/>
  <c r="O72" i="14"/>
  <c r="O73" i="14"/>
  <c r="Q69" i="14"/>
  <c r="Q76" i="14"/>
  <c r="Q63" i="14"/>
  <c r="N69" i="14"/>
  <c r="M69" i="14"/>
  <c r="L69" i="14"/>
  <c r="J208" i="14"/>
  <c r="J207" i="14"/>
  <c r="J22" i="14"/>
  <c r="C399" i="14"/>
  <c r="R69" i="14" l="1"/>
  <c r="R71" i="14"/>
  <c r="R73" i="14"/>
  <c r="R72" i="14"/>
  <c r="R70" i="14"/>
  <c r="N208" i="14"/>
  <c r="N207" i="14"/>
  <c r="O22" i="14" l="1"/>
  <c r="N22" i="14"/>
  <c r="M22" i="14"/>
  <c r="L22" i="14"/>
  <c r="W22" i="14" s="1"/>
  <c r="B22" i="14"/>
  <c r="Q22" i="14"/>
  <c r="E25" i="4"/>
  <c r="D25" i="4"/>
  <c r="C372" i="14"/>
  <c r="C370" i="14"/>
  <c r="C371" i="14"/>
  <c r="I352" i="14" l="1"/>
  <c r="C301" i="14" l="1"/>
  <c r="C183" i="14"/>
  <c r="C105" i="14"/>
  <c r="P352" i="14"/>
  <c r="E352" i="14"/>
  <c r="E347" i="15"/>
  <c r="AD139" i="14" l="1"/>
  <c r="AD140" i="14"/>
  <c r="AD141" i="14"/>
  <c r="AD142" i="14"/>
  <c r="AD143" i="14"/>
  <c r="AD144" i="14"/>
  <c r="AD145" i="14"/>
  <c r="AD146" i="14"/>
  <c r="AD147" i="14"/>
  <c r="AD148" i="14"/>
  <c r="AD149" i="14"/>
  <c r="AD150" i="14"/>
  <c r="AD151" i="14"/>
  <c r="AD152" i="14"/>
  <c r="AD138" i="14"/>
  <c r="Q21" i="14"/>
  <c r="N21" i="14"/>
  <c r="M21" i="14"/>
  <c r="L21" i="14"/>
  <c r="J21" i="14"/>
  <c r="B21" i="14"/>
  <c r="Q208" i="14"/>
  <c r="L20" i="14"/>
  <c r="J20" i="14"/>
  <c r="F22" i="4" l="1"/>
  <c r="F23" i="4"/>
  <c r="F24" i="4"/>
  <c r="W21" i="14"/>
  <c r="Q207" i="14" l="1"/>
  <c r="Q20" i="14"/>
  <c r="J136" i="14"/>
  <c r="J135" i="14"/>
  <c r="N136" i="14"/>
  <c r="N135" i="14"/>
  <c r="Q136" i="14"/>
  <c r="Q135" i="14"/>
  <c r="M136" i="14"/>
  <c r="M135" i="14"/>
  <c r="L10" i="14"/>
  <c r="D11" i="14" s="1"/>
  <c r="A46" i="14"/>
  <c r="A47" i="14"/>
  <c r="A48" i="14"/>
  <c r="A45" i="14"/>
  <c r="Q46" i="14" l="1"/>
  <c r="N46" i="14"/>
  <c r="M46" i="14"/>
  <c r="L46" i="14"/>
  <c r="B46" i="14"/>
  <c r="Q47" i="14"/>
  <c r="O47" i="14"/>
  <c r="N47" i="14"/>
  <c r="M47" i="14"/>
  <c r="L47" i="14"/>
  <c r="J47" i="14"/>
  <c r="B47" i="14"/>
  <c r="O46" i="14"/>
  <c r="J46" i="14"/>
  <c r="M10" i="14"/>
  <c r="HM7" i="5"/>
  <c r="HM8" i="5"/>
  <c r="HM9" i="5"/>
  <c r="HM10" i="5"/>
  <c r="HM11" i="5"/>
  <c r="HM12" i="5"/>
  <c r="HM13" i="5"/>
  <c r="HM14" i="5"/>
  <c r="HM15" i="5"/>
  <c r="HM16" i="5"/>
  <c r="HM17" i="5"/>
  <c r="HM18" i="5"/>
  <c r="HM19" i="5"/>
  <c r="HM20" i="5"/>
  <c r="HM21" i="5"/>
  <c r="HM22" i="5"/>
  <c r="HM23" i="5"/>
  <c r="HM24" i="5"/>
  <c r="HM25" i="5"/>
  <c r="HM26" i="5"/>
  <c r="HM27" i="5"/>
  <c r="HM28" i="5"/>
  <c r="HM29" i="5"/>
  <c r="HM30" i="5"/>
  <c r="HM31" i="5"/>
  <c r="HM32" i="5"/>
  <c r="HM33" i="5"/>
  <c r="HM34" i="5"/>
  <c r="HM35" i="5"/>
  <c r="HM36" i="5"/>
  <c r="HM37" i="5"/>
  <c r="HM38" i="5"/>
  <c r="HM39" i="5"/>
  <c r="HM40" i="5"/>
  <c r="HM41" i="5"/>
  <c r="HM42" i="5"/>
  <c r="HM43" i="5"/>
  <c r="HM44" i="5"/>
  <c r="HM45" i="5"/>
  <c r="HM46" i="5"/>
  <c r="HM47" i="5"/>
  <c r="HM48" i="5"/>
  <c r="HM49" i="5"/>
  <c r="HM50" i="5"/>
  <c r="HM51" i="5"/>
  <c r="HM52" i="5"/>
  <c r="HM53" i="5"/>
  <c r="HM54" i="5"/>
  <c r="HM55" i="5"/>
  <c r="HM56" i="5"/>
  <c r="HM57" i="5"/>
  <c r="HM58" i="5"/>
  <c r="HM59" i="5"/>
  <c r="HM60" i="5"/>
  <c r="HM61" i="5"/>
  <c r="HM62" i="5"/>
  <c r="HM63" i="5"/>
  <c r="HM64" i="5"/>
  <c r="HM65" i="5"/>
  <c r="HM66" i="5"/>
  <c r="HM67" i="5"/>
  <c r="HM68" i="5"/>
  <c r="HM69" i="5"/>
  <c r="HM70" i="5"/>
  <c r="HM71" i="5"/>
  <c r="HM72" i="5"/>
  <c r="HM73" i="5"/>
  <c r="HM74" i="5"/>
  <c r="HM75" i="5"/>
  <c r="HM76" i="5"/>
  <c r="HM78" i="5"/>
  <c r="HM79" i="5"/>
  <c r="HM80" i="5"/>
  <c r="HM81" i="5"/>
  <c r="HM82" i="5"/>
  <c r="HM83" i="5"/>
  <c r="HM84" i="5"/>
  <c r="HM85" i="5"/>
  <c r="HM86" i="5"/>
  <c r="HM87" i="5"/>
  <c r="HM88" i="5"/>
  <c r="HM89" i="5"/>
  <c r="HM90" i="5"/>
  <c r="HM91" i="5"/>
  <c r="HM6" i="5"/>
  <c r="G16" i="16"/>
  <c r="H16" i="16" s="1"/>
  <c r="I16" i="16" s="1"/>
  <c r="E351" i="15"/>
  <c r="E349" i="15"/>
  <c r="E345" i="15"/>
  <c r="E332" i="15"/>
  <c r="E333" i="15"/>
  <c r="E334" i="15"/>
  <c r="E335" i="15"/>
  <c r="E336" i="15"/>
  <c r="E337" i="15"/>
  <c r="E338" i="15"/>
  <c r="E339" i="15"/>
  <c r="E331" i="15"/>
  <c r="J241" i="14"/>
  <c r="J243" i="14"/>
  <c r="J244" i="14"/>
  <c r="R47" i="14" l="1"/>
  <c r="R46" i="14"/>
  <c r="J16" i="16"/>
  <c r="K16" i="16" s="1"/>
  <c r="L16" i="16" s="1"/>
  <c r="M16" i="16" s="1"/>
  <c r="N16" i="16" s="1"/>
  <c r="O16" i="16" s="1"/>
  <c r="P16" i="16" s="1"/>
  <c r="Q16" i="16" s="1"/>
  <c r="R16" i="16" s="1"/>
  <c r="S16" i="16" s="1"/>
  <c r="T16" i="16" s="1"/>
  <c r="U16" i="16" s="1"/>
  <c r="V16" i="16" s="1"/>
  <c r="W16" i="16" s="1"/>
  <c r="H6" i="5"/>
  <c r="H10" i="5"/>
  <c r="H14" i="5"/>
  <c r="H18" i="5"/>
  <c r="H22" i="5"/>
  <c r="H26" i="5"/>
  <c r="H30" i="5"/>
  <c r="H34" i="5"/>
  <c r="H38" i="5"/>
  <c r="H42" i="5"/>
  <c r="H46" i="5"/>
  <c r="H50" i="5"/>
  <c r="H54" i="5"/>
  <c r="H58" i="5"/>
  <c r="H62" i="5"/>
  <c r="H66" i="5"/>
  <c r="H70" i="5"/>
  <c r="H74" i="5"/>
  <c r="H78" i="5"/>
  <c r="H82" i="5"/>
  <c r="H86" i="5"/>
  <c r="H9" i="5"/>
  <c r="H13" i="5"/>
  <c r="H17" i="5"/>
  <c r="H21" i="5"/>
  <c r="H25" i="5"/>
  <c r="H29" i="5"/>
  <c r="H33" i="5"/>
  <c r="H37" i="5"/>
  <c r="H41" i="5"/>
  <c r="H45" i="5"/>
  <c r="H49" i="5"/>
  <c r="H53" i="5"/>
  <c r="H57" i="5"/>
  <c r="H61" i="5"/>
  <c r="H65" i="5"/>
  <c r="H69" i="5"/>
  <c r="H73" i="5"/>
  <c r="H77" i="5"/>
  <c r="H81" i="5"/>
  <c r="H85" i="5"/>
  <c r="H8" i="5"/>
  <c r="H12" i="5"/>
  <c r="H16" i="5"/>
  <c r="H20" i="5"/>
  <c r="H24" i="5"/>
  <c r="H28" i="5"/>
  <c r="H32" i="5"/>
  <c r="H36" i="5"/>
  <c r="H40" i="5"/>
  <c r="H44" i="5"/>
  <c r="H48" i="5"/>
  <c r="H52" i="5"/>
  <c r="H56" i="5"/>
  <c r="H60" i="5"/>
  <c r="H64" i="5"/>
  <c r="H68" i="5"/>
  <c r="H72" i="5"/>
  <c r="H76" i="5"/>
  <c r="H80" i="5"/>
  <c r="H84" i="5"/>
  <c r="H88" i="5"/>
  <c r="H7" i="5"/>
  <c r="H11" i="5"/>
  <c r="H15" i="5"/>
  <c r="H19" i="5"/>
  <c r="H23" i="5"/>
  <c r="H27" i="5"/>
  <c r="H31" i="5"/>
  <c r="H35" i="5"/>
  <c r="H39" i="5"/>
  <c r="H43" i="5"/>
  <c r="H47" i="5"/>
  <c r="H51" i="5"/>
  <c r="H55" i="5"/>
  <c r="H59" i="5"/>
  <c r="H63" i="5"/>
  <c r="H67" i="5"/>
  <c r="H71" i="5"/>
  <c r="H75" i="5"/>
  <c r="H79" i="5"/>
  <c r="H83" i="5"/>
  <c r="H87" i="5"/>
  <c r="N20" i="14"/>
  <c r="AD256" i="14"/>
  <c r="AD257" i="14"/>
  <c r="AD258" i="14"/>
  <c r="AD259" i="14"/>
  <c r="AD260" i="14"/>
  <c r="AD261" i="14"/>
  <c r="AD262" i="14"/>
  <c r="AD255" i="14"/>
  <c r="C407" i="14"/>
  <c r="B228" i="14"/>
  <c r="B229" i="14"/>
  <c r="B230" i="14"/>
  <c r="B227" i="14"/>
  <c r="L228" i="14"/>
  <c r="L229" i="14"/>
  <c r="L230" i="14"/>
  <c r="L227" i="14"/>
  <c r="Q228" i="14"/>
  <c r="Q229" i="14"/>
  <c r="Q230" i="14"/>
  <c r="M228" i="14"/>
  <c r="M229" i="14"/>
  <c r="M230" i="14"/>
  <c r="M227" i="14"/>
  <c r="Q227" i="14"/>
  <c r="J228" i="14"/>
  <c r="J229" i="14"/>
  <c r="J230" i="14"/>
  <c r="J227" i="14"/>
  <c r="N228" i="14"/>
  <c r="N229" i="14"/>
  <c r="N230" i="14"/>
  <c r="N227" i="14"/>
  <c r="J210" i="14"/>
  <c r="O230" i="14"/>
  <c r="O229" i="14"/>
  <c r="O228" i="14"/>
  <c r="O227" i="14"/>
  <c r="R228" i="14" l="1"/>
  <c r="R227" i="14"/>
  <c r="R230" i="14"/>
  <c r="R229" i="14"/>
  <c r="M11" i="14"/>
  <c r="A229" i="14"/>
  <c r="A230" i="14" s="1"/>
  <c r="A20" i="14" l="1"/>
  <c r="A21" i="14" s="1"/>
  <c r="A22" i="14" s="1"/>
  <c r="A166" i="14" l="1"/>
  <c r="A163" i="14"/>
  <c r="A164" i="14"/>
  <c r="A165" i="14"/>
  <c r="Q165" i="14"/>
  <c r="O165" i="14"/>
  <c r="N165" i="14"/>
  <c r="M165" i="14"/>
  <c r="L165" i="14"/>
  <c r="J165" i="14"/>
  <c r="B165" i="14"/>
  <c r="Q164" i="14"/>
  <c r="O164" i="14"/>
  <c r="N164" i="14"/>
  <c r="M164" i="14"/>
  <c r="L164" i="14"/>
  <c r="J164" i="14"/>
  <c r="B164" i="14"/>
  <c r="Q163" i="14"/>
  <c r="O163" i="14"/>
  <c r="N163" i="14"/>
  <c r="M163" i="14"/>
  <c r="L163" i="14"/>
  <c r="J163" i="14"/>
  <c r="B163" i="14"/>
  <c r="A51" i="14"/>
  <c r="A52" i="14"/>
  <c r="A53" i="14"/>
  <c r="A54" i="14"/>
  <c r="A29" i="14"/>
  <c r="A30" i="14"/>
  <c r="A31" i="14"/>
  <c r="A32" i="14"/>
  <c r="A33" i="14"/>
  <c r="A34" i="14"/>
  <c r="A35" i="14"/>
  <c r="A36" i="14"/>
  <c r="A37" i="14"/>
  <c r="A38" i="14"/>
  <c r="A39" i="14"/>
  <c r="A40" i="14"/>
  <c r="A41" i="14"/>
  <c r="A42" i="14"/>
  <c r="A43" i="14"/>
  <c r="Q53" i="14"/>
  <c r="O53" i="14"/>
  <c r="N53" i="14"/>
  <c r="M53" i="14"/>
  <c r="L53" i="14"/>
  <c r="J53" i="14"/>
  <c r="B53" i="14"/>
  <c r="Q52" i="14"/>
  <c r="O52" i="14"/>
  <c r="N52" i="14"/>
  <c r="M52" i="14"/>
  <c r="L52" i="14"/>
  <c r="J52" i="14"/>
  <c r="B52" i="14"/>
  <c r="Q51" i="14"/>
  <c r="O51" i="14"/>
  <c r="N51" i="14"/>
  <c r="M51" i="14"/>
  <c r="L51" i="14"/>
  <c r="J51" i="14"/>
  <c r="B51" i="14"/>
  <c r="B54" i="14"/>
  <c r="J54" i="14"/>
  <c r="L54" i="14"/>
  <c r="M54" i="14"/>
  <c r="N54" i="14"/>
  <c r="O54" i="14"/>
  <c r="Q54" i="14"/>
  <c r="K55" i="14"/>
  <c r="Q148" i="14"/>
  <c r="N148" i="14"/>
  <c r="M148" i="14"/>
  <c r="L148" i="14"/>
  <c r="J148" i="14"/>
  <c r="I148" i="14"/>
  <c r="O148" i="14" s="1"/>
  <c r="B148" i="14"/>
  <c r="A148" i="14"/>
  <c r="Q147" i="14"/>
  <c r="N147" i="14"/>
  <c r="M147" i="14"/>
  <c r="L147" i="14"/>
  <c r="J147" i="14"/>
  <c r="I147" i="14"/>
  <c r="O147" i="14" s="1"/>
  <c r="B147" i="14"/>
  <c r="A147" i="14"/>
  <c r="Q146" i="14"/>
  <c r="N146" i="14"/>
  <c r="M146" i="14"/>
  <c r="L146" i="14"/>
  <c r="J146" i="14"/>
  <c r="I146" i="14"/>
  <c r="O146" i="14" s="1"/>
  <c r="B146" i="14"/>
  <c r="A146" i="14"/>
  <c r="Q145" i="14"/>
  <c r="N145" i="14"/>
  <c r="M145" i="14"/>
  <c r="L145" i="14"/>
  <c r="J145" i="14"/>
  <c r="I145" i="14"/>
  <c r="O145" i="14" s="1"/>
  <c r="B145" i="14"/>
  <c r="A145" i="14"/>
  <c r="Q144" i="14"/>
  <c r="N144" i="14"/>
  <c r="M144" i="14"/>
  <c r="L144" i="14"/>
  <c r="J144" i="14"/>
  <c r="I144" i="14"/>
  <c r="O144" i="14" s="1"/>
  <c r="B144" i="14"/>
  <c r="A144" i="14"/>
  <c r="Q143" i="14"/>
  <c r="N143" i="14"/>
  <c r="M143" i="14"/>
  <c r="L143" i="14"/>
  <c r="J143" i="14"/>
  <c r="I143" i="14"/>
  <c r="O143" i="14" s="1"/>
  <c r="B143" i="14"/>
  <c r="A143" i="14"/>
  <c r="Q142" i="14"/>
  <c r="N142" i="14"/>
  <c r="M142" i="14"/>
  <c r="L142" i="14"/>
  <c r="J142" i="14"/>
  <c r="I142" i="14"/>
  <c r="O142" i="14" s="1"/>
  <c r="B142" i="14"/>
  <c r="A142" i="14"/>
  <c r="Q141" i="14"/>
  <c r="N141" i="14"/>
  <c r="M141" i="14"/>
  <c r="L141" i="14"/>
  <c r="J141" i="14"/>
  <c r="I141" i="14"/>
  <c r="O141" i="14" s="1"/>
  <c r="B141" i="14"/>
  <c r="A141" i="14"/>
  <c r="Q34" i="14"/>
  <c r="N34" i="14"/>
  <c r="M34" i="14"/>
  <c r="L34" i="14"/>
  <c r="J34" i="14"/>
  <c r="I34" i="14"/>
  <c r="O34" i="14" s="1"/>
  <c r="B34" i="14"/>
  <c r="Q33" i="14"/>
  <c r="N33" i="14"/>
  <c r="M33" i="14"/>
  <c r="L33" i="14"/>
  <c r="J33" i="14"/>
  <c r="I33" i="14"/>
  <c r="O33" i="14" s="1"/>
  <c r="B33" i="14"/>
  <c r="Q32" i="14"/>
  <c r="N32" i="14"/>
  <c r="M32" i="14"/>
  <c r="L32" i="14"/>
  <c r="J32" i="14"/>
  <c r="I32" i="14"/>
  <c r="O32" i="14" s="1"/>
  <c r="B32" i="14"/>
  <c r="Q36" i="14"/>
  <c r="N36" i="14"/>
  <c r="M36" i="14"/>
  <c r="L36" i="14"/>
  <c r="J36" i="14"/>
  <c r="I36" i="14"/>
  <c r="O36" i="14" s="1"/>
  <c r="B36" i="14"/>
  <c r="Q35" i="14"/>
  <c r="N35" i="14"/>
  <c r="M35" i="14"/>
  <c r="L35" i="14"/>
  <c r="J35" i="14"/>
  <c r="I35" i="14"/>
  <c r="O35" i="14" s="1"/>
  <c r="B35" i="14"/>
  <c r="Q31" i="14"/>
  <c r="N31" i="14"/>
  <c r="M31" i="14"/>
  <c r="L31" i="14"/>
  <c r="J31" i="14"/>
  <c r="I31" i="14"/>
  <c r="O31" i="14" s="1"/>
  <c r="B31" i="14"/>
  <c r="Q30" i="14"/>
  <c r="N30" i="14"/>
  <c r="M30" i="14"/>
  <c r="L30" i="14"/>
  <c r="J30" i="14"/>
  <c r="I30" i="14"/>
  <c r="O30" i="14" s="1"/>
  <c r="B30" i="14"/>
  <c r="Q29" i="14"/>
  <c r="N29" i="14"/>
  <c r="M29" i="14"/>
  <c r="L29" i="14"/>
  <c r="J29" i="14"/>
  <c r="I29" i="14"/>
  <c r="O29" i="14" s="1"/>
  <c r="B29" i="14"/>
  <c r="Q157" i="14"/>
  <c r="O157" i="14"/>
  <c r="N157" i="14"/>
  <c r="M157" i="14"/>
  <c r="L157" i="14"/>
  <c r="J157" i="14"/>
  <c r="B157" i="14"/>
  <c r="Q156" i="14"/>
  <c r="O156" i="14"/>
  <c r="N156" i="14"/>
  <c r="M156" i="14"/>
  <c r="L156" i="14"/>
  <c r="J156" i="14"/>
  <c r="B156" i="14"/>
  <c r="Q155" i="14"/>
  <c r="O155" i="14"/>
  <c r="N155" i="14"/>
  <c r="M155" i="14"/>
  <c r="L155" i="14"/>
  <c r="J155" i="14"/>
  <c r="B155" i="14"/>
  <c r="J73" i="14"/>
  <c r="J72" i="14"/>
  <c r="J71" i="14"/>
  <c r="J70" i="14"/>
  <c r="L76" i="14"/>
  <c r="L77" i="14"/>
  <c r="R155" i="14" l="1"/>
  <c r="R165" i="14"/>
  <c r="AA165" i="14" s="1"/>
  <c r="R164" i="14"/>
  <c r="X164" i="14" s="1"/>
  <c r="R163" i="14"/>
  <c r="AB163" i="14" s="1"/>
  <c r="R156" i="14"/>
  <c r="R157" i="14"/>
  <c r="R141" i="14"/>
  <c r="R142" i="14"/>
  <c r="R143" i="14"/>
  <c r="R144" i="14"/>
  <c r="R145" i="14"/>
  <c r="R146" i="14"/>
  <c r="R147" i="14"/>
  <c r="R148" i="14"/>
  <c r="Z46" i="14"/>
  <c r="AA47" i="14"/>
  <c r="X47" i="14"/>
  <c r="AB46" i="14"/>
  <c r="AB47" i="14"/>
  <c r="X46" i="14"/>
  <c r="Z47" i="14"/>
  <c r="AA46" i="14"/>
  <c r="R53" i="14"/>
  <c r="AB53" i="14" s="1"/>
  <c r="R52" i="14"/>
  <c r="Z52" i="14" s="1"/>
  <c r="R35" i="14"/>
  <c r="R36" i="14"/>
  <c r="R54" i="14"/>
  <c r="AB54" i="14" s="1"/>
  <c r="R51" i="14"/>
  <c r="R34" i="14"/>
  <c r="R33" i="14"/>
  <c r="R32" i="14"/>
  <c r="R31" i="14"/>
  <c r="R30" i="14"/>
  <c r="R29" i="14"/>
  <c r="A156" i="14"/>
  <c r="A157" i="14" s="1"/>
  <c r="A172" i="14"/>
  <c r="A171" i="14"/>
  <c r="A170" i="14"/>
  <c r="A169" i="14"/>
  <c r="A152" i="14"/>
  <c r="A151" i="14"/>
  <c r="A150" i="14"/>
  <c r="A149" i="14"/>
  <c r="A135" i="14"/>
  <c r="W136" i="14"/>
  <c r="Z88" i="14"/>
  <c r="G327" i="14"/>
  <c r="Z163" i="14" l="1"/>
  <c r="AB51" i="14"/>
  <c r="X53" i="14"/>
  <c r="X51" i="14"/>
  <c r="X165" i="14"/>
  <c r="AB165" i="14"/>
  <c r="X163" i="14"/>
  <c r="AA163" i="14"/>
  <c r="Z51" i="14"/>
  <c r="Z165" i="14"/>
  <c r="AA51" i="14"/>
  <c r="Z53" i="14"/>
  <c r="AA53" i="14"/>
  <c r="AB164" i="14"/>
  <c r="X54" i="14"/>
  <c r="AB52" i="14"/>
  <c r="AA54" i="14"/>
  <c r="Z54" i="14"/>
  <c r="X52" i="14"/>
  <c r="Z164" i="14"/>
  <c r="AA164" i="14"/>
  <c r="AA52" i="14"/>
  <c r="Z34" i="14"/>
  <c r="AA34" i="14"/>
  <c r="AB34" i="14"/>
  <c r="X34" i="14"/>
  <c r="AB32" i="14"/>
  <c r="X32" i="14"/>
  <c r="Z32" i="14"/>
  <c r="AA32" i="14"/>
  <c r="AA33" i="14"/>
  <c r="AB33" i="14"/>
  <c r="X33" i="14"/>
  <c r="Z33" i="14"/>
  <c r="AB31" i="14"/>
  <c r="X31" i="14"/>
  <c r="Z31" i="14"/>
  <c r="AA31" i="14"/>
  <c r="Z29" i="14"/>
  <c r="AA29" i="14"/>
  <c r="AB29" i="14"/>
  <c r="X29" i="14"/>
  <c r="Z30" i="14"/>
  <c r="AA30" i="14"/>
  <c r="AB30" i="14"/>
  <c r="X30" i="14"/>
  <c r="AA35" i="14"/>
  <c r="AB35" i="14"/>
  <c r="X35" i="14"/>
  <c r="Z35" i="14"/>
  <c r="Z36" i="14"/>
  <c r="AA36" i="14"/>
  <c r="AB36" i="14"/>
  <c r="X36" i="14"/>
  <c r="A158" i="14"/>
  <c r="W135" i="14"/>
  <c r="C405" i="14" l="1"/>
  <c r="C404" i="14"/>
  <c r="C402" i="14"/>
  <c r="C403" i="14"/>
  <c r="K74" i="14"/>
  <c r="E56" i="4"/>
  <c r="C398" i="14"/>
  <c r="AA71" i="14" l="1"/>
  <c r="X72" i="14"/>
  <c r="AA73" i="14"/>
  <c r="X70" i="14"/>
  <c r="Z72" i="14"/>
  <c r="AB72" i="14"/>
  <c r="Z70" i="14"/>
  <c r="AB70" i="14"/>
  <c r="X71" i="14"/>
  <c r="AA72" i="14"/>
  <c r="X73" i="14"/>
  <c r="AA70" i="14"/>
  <c r="Z71" i="14"/>
  <c r="AB71" i="14"/>
  <c r="Z73" i="14"/>
  <c r="AB73" i="14"/>
  <c r="A136" i="14"/>
  <c r="L453" i="15"/>
  <c r="L454" i="15"/>
  <c r="L455" i="15"/>
  <c r="L456" i="15"/>
  <c r="L457" i="15"/>
  <c r="L458" i="15"/>
  <c r="L459" i="15"/>
  <c r="L460" i="15"/>
  <c r="L461" i="15"/>
  <c r="L462" i="15"/>
  <c r="A138" i="14" l="1"/>
  <c r="A139" i="14" s="1"/>
  <c r="A140" i="14" l="1"/>
  <c r="A154" i="14" l="1"/>
  <c r="A155" i="14" s="1"/>
  <c r="A162" i="14" l="1"/>
  <c r="A168" i="14" s="1"/>
  <c r="B78" i="4" l="1"/>
  <c r="K250" i="14" l="1"/>
  <c r="X88" i="14" l="1"/>
  <c r="Y88" i="14"/>
  <c r="O210" i="14" l="1"/>
  <c r="O62" i="14"/>
  <c r="O63" i="14"/>
  <c r="O64" i="14"/>
  <c r="O65" i="14"/>
  <c r="O66" i="14"/>
  <c r="O67" i="14"/>
  <c r="O61" i="14"/>
  <c r="O50" i="14"/>
  <c r="O48" i="14"/>
  <c r="O45" i="14"/>
  <c r="C4" i="17"/>
  <c r="E7" i="17"/>
  <c r="C31" i="17"/>
  <c r="C32" i="17"/>
  <c r="C33" i="17"/>
  <c r="C34" i="17"/>
  <c r="C35" i="17"/>
  <c r="C36" i="17"/>
  <c r="C37" i="17"/>
  <c r="C38" i="17"/>
  <c r="C39" i="17"/>
  <c r="C40" i="17"/>
  <c r="C41" i="17"/>
  <c r="C42" i="17"/>
  <c r="C43" i="17"/>
  <c r="C44" i="17"/>
  <c r="C45" i="17"/>
  <c r="C46" i="17"/>
  <c r="C30" i="17"/>
  <c r="E21" i="17" l="1"/>
  <c r="I42" i="17"/>
  <c r="D27" i="17"/>
  <c r="E27" i="17" s="1"/>
  <c r="I45" i="17"/>
  <c r="I39" i="17"/>
  <c r="I43" i="17"/>
  <c r="I44" i="17"/>
  <c r="I37" i="17"/>
  <c r="I30" i="17"/>
  <c r="I41" i="17"/>
  <c r="I46" i="17"/>
  <c r="I38" i="17"/>
  <c r="E20" i="17"/>
  <c r="G24" i="21" s="1"/>
  <c r="H39" i="17"/>
  <c r="H43" i="17"/>
  <c r="H46" i="17"/>
  <c r="H38" i="17"/>
  <c r="H42" i="17"/>
  <c r="H30" i="17"/>
  <c r="H40" i="17"/>
  <c r="H44" i="17"/>
  <c r="H37" i="17"/>
  <c r="H45" i="17"/>
  <c r="D26" i="17"/>
  <c r="E26" i="17" s="1"/>
  <c r="G26" i="21" s="1"/>
  <c r="E19" i="17"/>
  <c r="F24" i="21" s="1"/>
  <c r="G40" i="17"/>
  <c r="G44" i="17"/>
  <c r="G37" i="17"/>
  <c r="G30" i="17"/>
  <c r="D25" i="17"/>
  <c r="E25" i="17" s="1"/>
  <c r="F26" i="21" s="1"/>
  <c r="G39" i="17"/>
  <c r="G45" i="17"/>
  <c r="G38" i="17"/>
  <c r="G42" i="17"/>
  <c r="G43" i="17"/>
  <c r="E22" i="17"/>
  <c r="H24" i="21" s="1"/>
  <c r="J45" i="17"/>
  <c r="J38" i="17"/>
  <c r="J43" i="17"/>
  <c r="J40" i="17"/>
  <c r="J37" i="17"/>
  <c r="J42" i="17"/>
  <c r="J30" i="17"/>
  <c r="D28" i="17"/>
  <c r="E28" i="17" s="1"/>
  <c r="H26" i="21" s="1"/>
  <c r="J39" i="17"/>
  <c r="J44" i="17"/>
  <c r="N24" i="14"/>
  <c r="B19" i="20" l="1"/>
  <c r="F19" i="20"/>
  <c r="F21" i="20"/>
  <c r="I26" i="21"/>
  <c r="I24" i="21"/>
  <c r="Q220" i="14"/>
  <c r="Q219" i="14"/>
  <c r="N220" i="14"/>
  <c r="N219" i="14"/>
  <c r="M220" i="14"/>
  <c r="AD220" i="14" s="1"/>
  <c r="M219" i="14"/>
  <c r="AD219" i="14" s="1"/>
  <c r="L220" i="14"/>
  <c r="L219" i="14"/>
  <c r="B220" i="14"/>
  <c r="B219" i="14"/>
  <c r="Q217" i="14"/>
  <c r="Q216" i="14"/>
  <c r="N217" i="14"/>
  <c r="R217" i="14" s="1"/>
  <c r="N216" i="14"/>
  <c r="M217" i="14"/>
  <c r="AD217" i="14" s="1"/>
  <c r="M216" i="14"/>
  <c r="AD216" i="14" s="1"/>
  <c r="L217" i="14"/>
  <c r="L216" i="14"/>
  <c r="B217" i="14"/>
  <c r="B216" i="14"/>
  <c r="B211" i="14"/>
  <c r="B213" i="14"/>
  <c r="B214" i="14"/>
  <c r="O220" i="14" l="1"/>
  <c r="R220" i="14" s="1"/>
  <c r="J220" i="14"/>
  <c r="O219" i="14"/>
  <c r="R219" i="14" s="1"/>
  <c r="J219" i="14"/>
  <c r="J217" i="14"/>
  <c r="O216" i="14"/>
  <c r="R216" i="14" s="1"/>
  <c r="J216" i="14"/>
  <c r="L50" i="14"/>
  <c r="M50" i="14"/>
  <c r="L62" i="14"/>
  <c r="L63" i="14"/>
  <c r="L64" i="14"/>
  <c r="L65" i="14"/>
  <c r="L66" i="14"/>
  <c r="L67" i="14"/>
  <c r="L61" i="14"/>
  <c r="J214" i="14"/>
  <c r="L214" i="14"/>
  <c r="L213" i="14"/>
  <c r="L210" i="14"/>
  <c r="M169" i="14"/>
  <c r="M170" i="14"/>
  <c r="M171" i="14"/>
  <c r="M172" i="14"/>
  <c r="B169" i="14"/>
  <c r="B170" i="14"/>
  <c r="B171" i="14"/>
  <c r="B172" i="14"/>
  <c r="M25" i="14"/>
  <c r="M26" i="14"/>
  <c r="M27" i="14"/>
  <c r="M28" i="14"/>
  <c r="M37" i="14"/>
  <c r="M38" i="14"/>
  <c r="M39" i="14"/>
  <c r="M40" i="14"/>
  <c r="M41" i="14"/>
  <c r="M42" i="14"/>
  <c r="M43" i="14"/>
  <c r="M20" i="14"/>
  <c r="B20" i="14"/>
  <c r="Q169" i="14"/>
  <c r="Q170" i="14"/>
  <c r="Q171" i="14"/>
  <c r="Q172" i="14"/>
  <c r="L169" i="14"/>
  <c r="L170" i="14"/>
  <c r="L171" i="14"/>
  <c r="O169" i="14"/>
  <c r="O170" i="14"/>
  <c r="O171" i="14"/>
  <c r="O172" i="14"/>
  <c r="O174" i="14"/>
  <c r="O175" i="14"/>
  <c r="O176" i="14"/>
  <c r="O177" i="14"/>
  <c r="O178" i="14"/>
  <c r="J169" i="14"/>
  <c r="J170" i="14"/>
  <c r="J171" i="14"/>
  <c r="J172" i="14"/>
  <c r="N169" i="14"/>
  <c r="N170" i="14"/>
  <c r="N171" i="14"/>
  <c r="W208" i="14"/>
  <c r="W207" i="14"/>
  <c r="O268" i="14"/>
  <c r="O256" i="14"/>
  <c r="O247" i="14"/>
  <c r="R170" i="14" l="1"/>
  <c r="R171" i="14"/>
  <c r="R169" i="14"/>
  <c r="O32" i="15"/>
  <c r="T204" i="14" l="1"/>
  <c r="Z170" i="14"/>
  <c r="X170" i="14"/>
  <c r="AB170" i="14"/>
  <c r="AA170" i="14"/>
  <c r="X171" i="14"/>
  <c r="AB171" i="14"/>
  <c r="AA171" i="14"/>
  <c r="Z171" i="14"/>
  <c r="AA169" i="14"/>
  <c r="Z169" i="14"/>
  <c r="X169" i="14"/>
  <c r="AB169" i="14"/>
  <c r="BF67" i="5"/>
  <c r="BF80" i="5"/>
  <c r="BF84" i="5"/>
  <c r="BF85" i="5"/>
  <c r="BF86" i="5"/>
  <c r="BF88" i="5"/>
  <c r="EX80" i="5"/>
  <c r="EX81" i="5"/>
  <c r="EX82" i="5"/>
  <c r="EX84" i="5"/>
  <c r="EX85" i="5"/>
  <c r="EX86" i="5"/>
  <c r="EX88" i="5"/>
  <c r="N18" i="16" l="1"/>
  <c r="O18" i="16"/>
  <c r="Q18" i="16"/>
  <c r="S18" i="16"/>
  <c r="T18" i="16"/>
  <c r="U18" i="16"/>
  <c r="V18" i="16"/>
  <c r="W18" i="16"/>
  <c r="N19" i="16"/>
  <c r="O19" i="16"/>
  <c r="Q19" i="16"/>
  <c r="S19" i="16"/>
  <c r="T19" i="16"/>
  <c r="U19" i="16"/>
  <c r="V19" i="16"/>
  <c r="W19" i="16"/>
  <c r="N20" i="16"/>
  <c r="O20" i="16"/>
  <c r="Q20" i="16"/>
  <c r="S20" i="16"/>
  <c r="T20" i="16"/>
  <c r="U20" i="16"/>
  <c r="V20" i="16"/>
  <c r="W20" i="16"/>
  <c r="N21" i="16"/>
  <c r="O21" i="16"/>
  <c r="Q21" i="16"/>
  <c r="S21" i="16"/>
  <c r="T21" i="16"/>
  <c r="U21" i="16"/>
  <c r="V21" i="16"/>
  <c r="W21" i="16"/>
  <c r="N22" i="16"/>
  <c r="O22" i="16"/>
  <c r="Q22" i="16"/>
  <c r="S22" i="16"/>
  <c r="T22" i="16"/>
  <c r="U22" i="16"/>
  <c r="V22" i="16"/>
  <c r="W22" i="16"/>
  <c r="N23" i="16"/>
  <c r="O23" i="16"/>
  <c r="Q23" i="16"/>
  <c r="S23" i="16"/>
  <c r="T23" i="16"/>
  <c r="U23" i="16"/>
  <c r="V23" i="16"/>
  <c r="W23" i="16"/>
  <c r="N24" i="16"/>
  <c r="O24" i="16"/>
  <c r="Q24" i="16"/>
  <c r="S24" i="16"/>
  <c r="T24" i="16"/>
  <c r="U24" i="16"/>
  <c r="V24" i="16"/>
  <c r="W24" i="16"/>
  <c r="N25" i="16"/>
  <c r="O25" i="16"/>
  <c r="Q25" i="16"/>
  <c r="S25" i="16"/>
  <c r="T25" i="16"/>
  <c r="U25" i="16"/>
  <c r="V25" i="16"/>
  <c r="W25" i="16"/>
  <c r="N26" i="16"/>
  <c r="O26" i="16"/>
  <c r="Q26" i="16"/>
  <c r="S26" i="16"/>
  <c r="T26" i="16"/>
  <c r="U26" i="16"/>
  <c r="V26" i="16"/>
  <c r="W26" i="16"/>
  <c r="N27" i="16"/>
  <c r="O27" i="16"/>
  <c r="Q27" i="16"/>
  <c r="S27" i="16"/>
  <c r="T27" i="16"/>
  <c r="U27" i="16"/>
  <c r="V27" i="16"/>
  <c r="W27" i="16"/>
  <c r="N28" i="16"/>
  <c r="O28" i="16"/>
  <c r="Q28" i="16"/>
  <c r="S28" i="16"/>
  <c r="T28" i="16"/>
  <c r="U28" i="16"/>
  <c r="V28" i="16"/>
  <c r="W28" i="16"/>
  <c r="N29" i="16"/>
  <c r="O29" i="16"/>
  <c r="Q29" i="16"/>
  <c r="S29" i="16"/>
  <c r="T29" i="16"/>
  <c r="U29" i="16"/>
  <c r="V29" i="16"/>
  <c r="W29" i="16"/>
  <c r="N30" i="16"/>
  <c r="O30" i="16"/>
  <c r="Q30" i="16"/>
  <c r="S30" i="16"/>
  <c r="T30" i="16"/>
  <c r="U30" i="16"/>
  <c r="V30" i="16"/>
  <c r="W30" i="16"/>
  <c r="N31" i="16"/>
  <c r="O31" i="16"/>
  <c r="Q31" i="16"/>
  <c r="S31" i="16"/>
  <c r="T31" i="16"/>
  <c r="U31" i="16"/>
  <c r="V31" i="16"/>
  <c r="W31" i="16"/>
  <c r="N32" i="16"/>
  <c r="O32" i="16"/>
  <c r="Q32" i="16"/>
  <c r="S32" i="16"/>
  <c r="T32" i="16"/>
  <c r="U32" i="16"/>
  <c r="V32" i="16"/>
  <c r="W32" i="16"/>
  <c r="N33" i="16"/>
  <c r="O33" i="16"/>
  <c r="Q33" i="16"/>
  <c r="S33" i="16"/>
  <c r="T33" i="16"/>
  <c r="U33" i="16"/>
  <c r="V33" i="16"/>
  <c r="W33" i="16"/>
  <c r="N34" i="16"/>
  <c r="O34" i="16"/>
  <c r="Q34" i="16"/>
  <c r="S34" i="16"/>
  <c r="T34" i="16"/>
  <c r="U34" i="16"/>
  <c r="V34" i="16"/>
  <c r="W34" i="16"/>
  <c r="N35" i="16"/>
  <c r="O35" i="16"/>
  <c r="Q35" i="16"/>
  <c r="S35" i="16"/>
  <c r="T35" i="16"/>
  <c r="U35" i="16"/>
  <c r="V35" i="16"/>
  <c r="W35" i="16"/>
  <c r="O17" i="16" l="1"/>
  <c r="W17" i="16"/>
  <c r="S17" i="16"/>
  <c r="N17" i="16"/>
  <c r="T17" i="16"/>
  <c r="V17" i="16"/>
  <c r="U17" i="16"/>
  <c r="Q17" i="16"/>
  <c r="J211" i="14"/>
  <c r="J213" i="14"/>
  <c r="I78" i="14"/>
  <c r="O78" i="14" s="1"/>
  <c r="Q86" i="14"/>
  <c r="Q87" i="14"/>
  <c r="Q85" i="14"/>
  <c r="N86" i="14"/>
  <c r="N87" i="14"/>
  <c r="N85" i="14"/>
  <c r="M86" i="14"/>
  <c r="M87" i="14"/>
  <c r="M85" i="14"/>
  <c r="L86" i="14"/>
  <c r="L87" i="14"/>
  <c r="L85" i="14"/>
  <c r="Q83" i="14"/>
  <c r="Q84" i="14"/>
  <c r="N83" i="14"/>
  <c r="N84" i="14"/>
  <c r="M83" i="14"/>
  <c r="M84" i="14"/>
  <c r="L83" i="14"/>
  <c r="L84" i="14"/>
  <c r="Q82" i="14"/>
  <c r="N82" i="14"/>
  <c r="M82" i="14"/>
  <c r="L82" i="14"/>
  <c r="Q80" i="14"/>
  <c r="Q81" i="14"/>
  <c r="J86" i="14"/>
  <c r="J87" i="14"/>
  <c r="J85" i="14"/>
  <c r="J83" i="14"/>
  <c r="J84" i="14"/>
  <c r="J82" i="14"/>
  <c r="J80" i="14"/>
  <c r="J81" i="14"/>
  <c r="J79" i="14"/>
  <c r="B86" i="14"/>
  <c r="B87" i="14"/>
  <c r="B85" i="14"/>
  <c r="B83" i="14"/>
  <c r="B84" i="14"/>
  <c r="B82" i="14"/>
  <c r="B80" i="14"/>
  <c r="B81" i="14"/>
  <c r="B79" i="14"/>
  <c r="I79" i="14"/>
  <c r="O79" i="14" s="1"/>
  <c r="I80" i="14"/>
  <c r="O80" i="14" s="1"/>
  <c r="I81" i="14"/>
  <c r="O81" i="14" s="1"/>
  <c r="I82" i="14"/>
  <c r="O82" i="14" s="1"/>
  <c r="I83" i="14"/>
  <c r="O83" i="14" s="1"/>
  <c r="I84" i="14"/>
  <c r="O84" i="14" s="1"/>
  <c r="I85" i="14"/>
  <c r="O85" i="14" s="1"/>
  <c r="I86" i="14"/>
  <c r="O86" i="14" s="1"/>
  <c r="I87" i="14"/>
  <c r="O87" i="14" s="1"/>
  <c r="Q79" i="14"/>
  <c r="L80" i="14"/>
  <c r="M80" i="14"/>
  <c r="N80" i="14"/>
  <c r="L81" i="14"/>
  <c r="M81" i="14"/>
  <c r="N81" i="14"/>
  <c r="N79" i="14"/>
  <c r="J77" i="14"/>
  <c r="J78" i="14"/>
  <c r="M79" i="14"/>
  <c r="L79" i="14"/>
  <c r="L78" i="14"/>
  <c r="L284" i="14"/>
  <c r="L289" i="14"/>
  <c r="L288" i="14"/>
  <c r="L287" i="14"/>
  <c r="L286" i="14"/>
  <c r="L285" i="14"/>
  <c r="M284" i="14"/>
  <c r="M289" i="14"/>
  <c r="M288" i="14"/>
  <c r="M287" i="14"/>
  <c r="M286" i="14"/>
  <c r="M285" i="14"/>
  <c r="B284" i="14"/>
  <c r="Q289" i="14"/>
  <c r="Q288" i="14"/>
  <c r="Q287" i="14"/>
  <c r="Q286" i="14"/>
  <c r="Q285" i="14"/>
  <c r="Q284" i="14"/>
  <c r="N289" i="14"/>
  <c r="N288" i="14"/>
  <c r="N287" i="14"/>
  <c r="N286" i="14"/>
  <c r="N285" i="14"/>
  <c r="N284" i="14"/>
  <c r="B289" i="14"/>
  <c r="B288" i="14"/>
  <c r="B287" i="14"/>
  <c r="B286" i="14"/>
  <c r="B285" i="14"/>
  <c r="M275" i="14"/>
  <c r="M278" i="14"/>
  <c r="M277" i="14"/>
  <c r="M276" i="14"/>
  <c r="L275" i="14"/>
  <c r="L278" i="14"/>
  <c r="L277" i="14"/>
  <c r="L276" i="14"/>
  <c r="B275" i="14"/>
  <c r="Q278" i="14"/>
  <c r="Q277" i="14"/>
  <c r="Q276" i="14"/>
  <c r="Q275" i="14"/>
  <c r="N278" i="14"/>
  <c r="N277" i="14"/>
  <c r="N276" i="14"/>
  <c r="N275" i="14"/>
  <c r="B278" i="14"/>
  <c r="B277" i="14"/>
  <c r="B276" i="14"/>
  <c r="L272" i="14"/>
  <c r="L273" i="14"/>
  <c r="M272" i="14"/>
  <c r="M273" i="14"/>
  <c r="B272" i="14"/>
  <c r="Q273" i="14"/>
  <c r="Q272" i="14"/>
  <c r="N273" i="14"/>
  <c r="N272" i="14"/>
  <c r="B273" i="14"/>
  <c r="L267" i="14"/>
  <c r="L270" i="14"/>
  <c r="L269" i="14"/>
  <c r="L268" i="14"/>
  <c r="M267" i="14"/>
  <c r="M270" i="14"/>
  <c r="M269" i="14"/>
  <c r="M268" i="14"/>
  <c r="B267" i="14"/>
  <c r="Q270" i="14"/>
  <c r="Q269" i="14"/>
  <c r="Q268" i="14"/>
  <c r="N270" i="14"/>
  <c r="N269" i="14"/>
  <c r="N268" i="14"/>
  <c r="R268" i="14" s="1"/>
  <c r="N267" i="14"/>
  <c r="B270" i="14"/>
  <c r="B269" i="14"/>
  <c r="B268" i="14"/>
  <c r="L255" i="14"/>
  <c r="L262" i="14"/>
  <c r="L261" i="14"/>
  <c r="L260" i="14"/>
  <c r="L259" i="14"/>
  <c r="L258" i="14"/>
  <c r="L257" i="14"/>
  <c r="L256" i="14"/>
  <c r="M255" i="14"/>
  <c r="M262" i="14"/>
  <c r="M261" i="14"/>
  <c r="M260" i="14"/>
  <c r="M259" i="14"/>
  <c r="M258" i="14"/>
  <c r="M257" i="14"/>
  <c r="M256" i="14"/>
  <c r="B255" i="14"/>
  <c r="Q262" i="14"/>
  <c r="Q261" i="14"/>
  <c r="Q260" i="14"/>
  <c r="Q259" i="14"/>
  <c r="Q258" i="14"/>
  <c r="Q257" i="14"/>
  <c r="Q256" i="14"/>
  <c r="N262" i="14"/>
  <c r="N261" i="14"/>
  <c r="N260" i="14"/>
  <c r="N259" i="14"/>
  <c r="N258" i="14"/>
  <c r="N257" i="14"/>
  <c r="N256" i="14"/>
  <c r="R256" i="14" s="1"/>
  <c r="Q255" i="14"/>
  <c r="B262" i="14"/>
  <c r="B261" i="14"/>
  <c r="B260" i="14"/>
  <c r="B259" i="14"/>
  <c r="B258" i="14"/>
  <c r="B257" i="14"/>
  <c r="B256" i="14"/>
  <c r="L246" i="14"/>
  <c r="L249" i="14"/>
  <c r="L248" i="14"/>
  <c r="L247" i="14"/>
  <c r="M246" i="14"/>
  <c r="M249" i="14"/>
  <c r="M248" i="14"/>
  <c r="M247" i="14"/>
  <c r="B246" i="14"/>
  <c r="Q249" i="14"/>
  <c r="Q248" i="14"/>
  <c r="Q247" i="14"/>
  <c r="Q246" i="14"/>
  <c r="N249" i="14"/>
  <c r="N248" i="14"/>
  <c r="N247" i="14"/>
  <c r="R247" i="14" s="1"/>
  <c r="N246" i="14"/>
  <c r="B249" i="14"/>
  <c r="B248" i="14"/>
  <c r="B247" i="14"/>
  <c r="L241" i="14"/>
  <c r="L244" i="14"/>
  <c r="L243" i="14"/>
  <c r="L242" i="14"/>
  <c r="M241" i="14"/>
  <c r="M244" i="14"/>
  <c r="M243" i="14"/>
  <c r="M242" i="14"/>
  <c r="B241" i="14"/>
  <c r="Q244" i="14"/>
  <c r="Q243" i="14"/>
  <c r="Q242" i="14"/>
  <c r="Q241" i="14"/>
  <c r="N244" i="14"/>
  <c r="N243" i="14"/>
  <c r="N242" i="14"/>
  <c r="N241" i="14"/>
  <c r="B244" i="14"/>
  <c r="B243" i="14"/>
  <c r="B242" i="14"/>
  <c r="L162" i="14"/>
  <c r="L166" i="14"/>
  <c r="M162" i="14"/>
  <c r="M166" i="14"/>
  <c r="B162" i="14"/>
  <c r="Q166" i="14"/>
  <c r="Q162" i="14"/>
  <c r="N166" i="14"/>
  <c r="N162" i="14"/>
  <c r="B166" i="14"/>
  <c r="L234" i="14"/>
  <c r="L235" i="14"/>
  <c r="M234" i="14"/>
  <c r="M235" i="14"/>
  <c r="B234" i="14"/>
  <c r="Q235" i="14"/>
  <c r="Q234" i="14"/>
  <c r="N235" i="14"/>
  <c r="N234" i="14"/>
  <c r="B235" i="14"/>
  <c r="L232" i="14"/>
  <c r="L233" i="14"/>
  <c r="M232" i="14"/>
  <c r="M233" i="14"/>
  <c r="B232" i="14"/>
  <c r="Q233" i="14"/>
  <c r="N233" i="14"/>
  <c r="Q232" i="14"/>
  <c r="B233" i="14"/>
  <c r="Q214" i="14"/>
  <c r="Q213" i="14"/>
  <c r="N213" i="14"/>
  <c r="N214" i="14"/>
  <c r="M214" i="14"/>
  <c r="AD214" i="14" s="1"/>
  <c r="M213" i="14"/>
  <c r="AD213" i="14" s="1"/>
  <c r="L211" i="14"/>
  <c r="M210" i="14"/>
  <c r="AD210" i="14" s="1"/>
  <c r="M211" i="14"/>
  <c r="AD211" i="14" s="1"/>
  <c r="B210" i="14"/>
  <c r="Q211" i="14"/>
  <c r="Q210" i="14"/>
  <c r="N211" i="14"/>
  <c r="R211" i="14" s="1"/>
  <c r="N210" i="14"/>
  <c r="R210" i="14" s="1"/>
  <c r="L168" i="14"/>
  <c r="L172" i="14"/>
  <c r="M168" i="14"/>
  <c r="B168" i="14"/>
  <c r="Q168" i="14"/>
  <c r="N172" i="14"/>
  <c r="R172" i="14" s="1"/>
  <c r="N168" i="14"/>
  <c r="M154" i="14"/>
  <c r="M158" i="14"/>
  <c r="L154" i="14"/>
  <c r="L158" i="14"/>
  <c r="B154" i="14"/>
  <c r="Q158" i="14"/>
  <c r="Q154" i="14"/>
  <c r="N158" i="14"/>
  <c r="N154" i="14"/>
  <c r="B158" i="14"/>
  <c r="L152" i="14"/>
  <c r="L151" i="14"/>
  <c r="L150" i="14"/>
  <c r="L149" i="14"/>
  <c r="L140" i="14"/>
  <c r="L139" i="14"/>
  <c r="L138" i="14"/>
  <c r="M152" i="14"/>
  <c r="M151" i="14"/>
  <c r="M150" i="14"/>
  <c r="M149" i="14"/>
  <c r="M140" i="14"/>
  <c r="M139" i="14"/>
  <c r="M138" i="14"/>
  <c r="Q152" i="14"/>
  <c r="Q151" i="14"/>
  <c r="Q150" i="14"/>
  <c r="Q149" i="14"/>
  <c r="Q140" i="14"/>
  <c r="Q139" i="14"/>
  <c r="Q138" i="14"/>
  <c r="N152" i="14"/>
  <c r="N151" i="14"/>
  <c r="N150" i="14"/>
  <c r="N149" i="14"/>
  <c r="N140" i="14"/>
  <c r="N138" i="14"/>
  <c r="R138" i="14" s="1"/>
  <c r="B152" i="14"/>
  <c r="B151" i="14"/>
  <c r="B150" i="14"/>
  <c r="B149" i="14"/>
  <c r="B140" i="14"/>
  <c r="B139" i="14"/>
  <c r="B138" i="14"/>
  <c r="M76" i="14"/>
  <c r="M78" i="14"/>
  <c r="M77" i="14"/>
  <c r="B76" i="14"/>
  <c r="Q78" i="14"/>
  <c r="Q77" i="14"/>
  <c r="N78" i="14"/>
  <c r="N77" i="14"/>
  <c r="N76" i="14"/>
  <c r="B78" i="14"/>
  <c r="B77" i="14"/>
  <c r="Q267" i="14" l="1"/>
  <c r="R78" i="14"/>
  <c r="R79" i="14"/>
  <c r="R85" i="14"/>
  <c r="R81" i="14"/>
  <c r="R87" i="14"/>
  <c r="R86" i="14"/>
  <c r="R84" i="14"/>
  <c r="R83" i="14"/>
  <c r="R82" i="14"/>
  <c r="R80" i="14"/>
  <c r="U290" i="14"/>
  <c r="T290" i="14"/>
  <c r="S290" i="14"/>
  <c r="W290" i="14"/>
  <c r="V290" i="14"/>
  <c r="Z221" i="14"/>
  <c r="V221" i="14"/>
  <c r="AA221" i="14"/>
  <c r="W221" i="14"/>
  <c r="AB221" i="14"/>
  <c r="X221" i="14"/>
  <c r="T221" i="14"/>
  <c r="Y221" i="14"/>
  <c r="U221" i="14"/>
  <c r="S221" i="14"/>
  <c r="Z251" i="14"/>
  <c r="Y251" i="14"/>
  <c r="AB251" i="14"/>
  <c r="AA251" i="14"/>
  <c r="AA172" i="14"/>
  <c r="Z172" i="14"/>
  <c r="X172" i="14"/>
  <c r="AB172" i="14"/>
  <c r="X251" i="14"/>
  <c r="U251" i="14"/>
  <c r="T251" i="14"/>
  <c r="S251" i="14"/>
  <c r="W251" i="14"/>
  <c r="V251" i="14"/>
  <c r="L254" i="14"/>
  <c r="L245" i="14"/>
  <c r="M293" i="14"/>
  <c r="S204" i="14" s="1"/>
  <c r="M62" i="14"/>
  <c r="M61" i="14"/>
  <c r="M67" i="14"/>
  <c r="M66" i="14"/>
  <c r="M65" i="14"/>
  <c r="M64" i="14"/>
  <c r="M63" i="14"/>
  <c r="Q67" i="14"/>
  <c r="Q66" i="14"/>
  <c r="Q65" i="14"/>
  <c r="Q64" i="14"/>
  <c r="Q62" i="14"/>
  <c r="Q61" i="14"/>
  <c r="N67" i="14"/>
  <c r="R67" i="14" s="1"/>
  <c r="N66" i="14"/>
  <c r="R66" i="14" s="1"/>
  <c r="N65" i="14"/>
  <c r="R65" i="14" s="1"/>
  <c r="N64" i="14"/>
  <c r="R64" i="14" s="1"/>
  <c r="N63" i="14"/>
  <c r="R63" i="14" s="1"/>
  <c r="N62" i="14"/>
  <c r="R62" i="14" s="1"/>
  <c r="N61" i="14"/>
  <c r="R61" i="14" s="1"/>
  <c r="B67" i="14"/>
  <c r="B66" i="14"/>
  <c r="B65" i="14"/>
  <c r="B64" i="14"/>
  <c r="B63" i="14"/>
  <c r="B62" i="14"/>
  <c r="B61" i="14"/>
  <c r="Q50" i="14"/>
  <c r="N50" i="14"/>
  <c r="R50" i="14" s="1"/>
  <c r="B50" i="14"/>
  <c r="Q48" i="14"/>
  <c r="N48" i="14"/>
  <c r="R48" i="14" s="1"/>
  <c r="M48" i="14"/>
  <c r="L48" i="14"/>
  <c r="B48" i="14"/>
  <c r="Q45" i="14"/>
  <c r="N45" i="14"/>
  <c r="R45" i="14" s="1"/>
  <c r="M45" i="14"/>
  <c r="L45" i="14"/>
  <c r="B45" i="14"/>
  <c r="L43" i="14"/>
  <c r="L42" i="14"/>
  <c r="L41" i="14"/>
  <c r="L40" i="14"/>
  <c r="L39" i="14"/>
  <c r="L38" i="14"/>
  <c r="L37" i="14"/>
  <c r="L28" i="14"/>
  <c r="L27" i="14"/>
  <c r="B25" i="14"/>
  <c r="Q43" i="14"/>
  <c r="Q42" i="14"/>
  <c r="Q41" i="14"/>
  <c r="Q40" i="14"/>
  <c r="Q39" i="14"/>
  <c r="Q38" i="14"/>
  <c r="Q37" i="14"/>
  <c r="Q28" i="14"/>
  <c r="Q27" i="14"/>
  <c r="Q26" i="14"/>
  <c r="N43" i="14"/>
  <c r="N42" i="14"/>
  <c r="N41" i="14"/>
  <c r="N40" i="14"/>
  <c r="N39" i="14"/>
  <c r="N38" i="14"/>
  <c r="N37" i="14"/>
  <c r="N28" i="14"/>
  <c r="N27" i="14"/>
  <c r="N26" i="14"/>
  <c r="N25" i="14"/>
  <c r="B43" i="14"/>
  <c r="B42" i="14"/>
  <c r="B41" i="14"/>
  <c r="B40" i="14"/>
  <c r="B39" i="14"/>
  <c r="B38" i="14"/>
  <c r="B37" i="14"/>
  <c r="B28" i="14"/>
  <c r="B27" i="14"/>
  <c r="B26" i="14"/>
  <c r="C367" i="14"/>
  <c r="E117" i="5"/>
  <c r="W291" i="14" l="1"/>
  <c r="V291" i="14"/>
  <c r="U291" i="14"/>
  <c r="T291" i="14"/>
  <c r="S291" i="14"/>
  <c r="AA206" i="14"/>
  <c r="AB206" i="14"/>
  <c r="Y206" i="14"/>
  <c r="X206" i="14"/>
  <c r="Z206" i="14"/>
  <c r="X85" i="14"/>
  <c r="AB85" i="14"/>
  <c r="AA85" i="14"/>
  <c r="Z85" i="14"/>
  <c r="X83" i="14"/>
  <c r="AB83" i="14"/>
  <c r="AA83" i="14"/>
  <c r="Z83" i="14"/>
  <c r="Z80" i="14"/>
  <c r="X80" i="14"/>
  <c r="AB80" i="14"/>
  <c r="AA80" i="14"/>
  <c r="X81" i="14"/>
  <c r="AB81" i="14"/>
  <c r="AA81" i="14"/>
  <c r="Z81" i="14"/>
  <c r="X87" i="14"/>
  <c r="AB87" i="14"/>
  <c r="AA87" i="14"/>
  <c r="Z87" i="14"/>
  <c r="Z84" i="14"/>
  <c r="X84" i="14"/>
  <c r="AB84" i="14"/>
  <c r="AA84" i="14"/>
  <c r="X79" i="14"/>
  <c r="AB79" i="14"/>
  <c r="AA79" i="14"/>
  <c r="Z79" i="14"/>
  <c r="AA86" i="14"/>
  <c r="Z86" i="14"/>
  <c r="X86" i="14"/>
  <c r="AB86" i="14"/>
  <c r="Z82" i="14"/>
  <c r="X82" i="14"/>
  <c r="AB82" i="14"/>
  <c r="AA82" i="14"/>
  <c r="Q25" i="14"/>
  <c r="Q24" i="14" l="1"/>
  <c r="M24" i="14" l="1"/>
  <c r="B24" i="14"/>
  <c r="E312" i="15"/>
  <c r="E311" i="15"/>
  <c r="E310" i="15"/>
  <c r="N139" i="14" s="1"/>
  <c r="E309" i="15"/>
  <c r="E308" i="15"/>
  <c r="E307" i="15"/>
  <c r="E306" i="15"/>
  <c r="E305" i="15"/>
  <c r="E304" i="15"/>
  <c r="E303" i="15"/>
  <c r="E302" i="15"/>
  <c r="E301" i="15"/>
  <c r="E300" i="15"/>
  <c r="E299" i="15"/>
  <c r="E298" i="15"/>
  <c r="E297" i="15"/>
  <c r="E296" i="15"/>
  <c r="E295" i="15"/>
  <c r="E294" i="15"/>
  <c r="E293" i="15"/>
  <c r="E252" i="15"/>
  <c r="E251" i="15"/>
  <c r="E250" i="15"/>
  <c r="E249" i="15"/>
  <c r="E248" i="15"/>
  <c r="E247" i="15"/>
  <c r="E246" i="15"/>
  <c r="E245" i="15"/>
  <c r="E244" i="15"/>
  <c r="E243" i="15"/>
  <c r="E242" i="15"/>
  <c r="E241" i="15"/>
  <c r="E240" i="15"/>
  <c r="E239" i="15"/>
  <c r="E238" i="15"/>
  <c r="E237" i="15"/>
  <c r="E236" i="15"/>
  <c r="E235" i="15"/>
  <c r="E234" i="15"/>
  <c r="E233" i="15"/>
  <c r="E232" i="15"/>
  <c r="E231" i="15"/>
  <c r="E230" i="15"/>
  <c r="E229" i="15"/>
  <c r="T23" i="15"/>
  <c r="T22" i="15"/>
  <c r="D7" i="15"/>
  <c r="D8" i="15" s="1"/>
  <c r="D9" i="15" s="1"/>
  <c r="D10" i="15" s="1"/>
  <c r="D11" i="15" s="1"/>
  <c r="I182" i="5"/>
  <c r="I181" i="5"/>
  <c r="I180" i="5"/>
  <c r="I179" i="5"/>
  <c r="I178" i="5"/>
  <c r="I177" i="5"/>
  <c r="I176" i="5"/>
  <c r="I175" i="5"/>
  <c r="I174" i="5"/>
  <c r="I173" i="5"/>
  <c r="I172" i="5"/>
  <c r="I171" i="5"/>
  <c r="I170" i="5"/>
  <c r="I169" i="5"/>
  <c r="I146" i="5"/>
  <c r="I145" i="5"/>
  <c r="I144" i="5"/>
  <c r="I143" i="5"/>
  <c r="I142" i="5"/>
  <c r="I141" i="5"/>
  <c r="I140" i="5"/>
  <c r="I139" i="5"/>
  <c r="F38" i="4"/>
  <c r="E38" i="4"/>
  <c r="M95" i="14" l="1"/>
  <c r="D12" i="15"/>
  <c r="D13" i="15" s="1"/>
  <c r="D14" i="15" s="1"/>
  <c r="D15" i="15" s="1"/>
  <c r="D16" i="15" s="1"/>
  <c r="D17" i="15" s="1"/>
  <c r="D18" i="15" s="1"/>
  <c r="D19" i="15" s="1"/>
  <c r="D20" i="15" s="1"/>
  <c r="D21" i="15" s="1"/>
  <c r="D22" i="15" s="1"/>
  <c r="D23" i="15" s="1"/>
  <c r="D24" i="15" s="1"/>
  <c r="D25" i="15" s="1"/>
  <c r="D26" i="15" s="1"/>
  <c r="D27" i="15" s="1"/>
  <c r="D28" i="15" s="1"/>
  <c r="D29" i="15" s="1"/>
  <c r="D30" i="15" s="1"/>
  <c r="D31" i="15" s="1"/>
  <c r="D32" i="15" s="1"/>
  <c r="D33" i="15" s="1"/>
  <c r="D34" i="15" s="1"/>
  <c r="D35" i="15" s="1"/>
  <c r="D36" i="15" s="1"/>
  <c r="D37" i="15" s="1"/>
  <c r="D38" i="15" s="1"/>
  <c r="D39" i="15" s="1"/>
  <c r="D40" i="15" s="1"/>
  <c r="D41" i="15" s="1"/>
  <c r="D42" i="15" s="1"/>
  <c r="C2" i="4"/>
  <c r="P404" i="14"/>
  <c r="Q404" i="14" s="1"/>
  <c r="C401" i="14"/>
  <c r="C400" i="14"/>
  <c r="J375" i="14"/>
  <c r="J374" i="14"/>
  <c r="J373" i="14"/>
  <c r="G35" i="16"/>
  <c r="G34" i="16"/>
  <c r="G33" i="16"/>
  <c r="G32" i="16"/>
  <c r="G31" i="16"/>
  <c r="G30" i="16"/>
  <c r="G29" i="16"/>
  <c r="G28" i="16"/>
  <c r="G27" i="16"/>
  <c r="G26" i="16"/>
  <c r="G25" i="16"/>
  <c r="G22" i="16"/>
  <c r="G24" i="16"/>
  <c r="G23" i="16"/>
  <c r="G21" i="16"/>
  <c r="G20" i="16"/>
  <c r="G19" i="16"/>
  <c r="F375" i="14"/>
  <c r="F374" i="14"/>
  <c r="F373" i="14"/>
  <c r="C375" i="14"/>
  <c r="C374" i="14"/>
  <c r="C373" i="14"/>
  <c r="C35" i="16"/>
  <c r="C34" i="16"/>
  <c r="C33" i="16"/>
  <c r="C369" i="14"/>
  <c r="C32" i="16" s="1"/>
  <c r="C368" i="14"/>
  <c r="C31" i="16" s="1"/>
  <c r="C30" i="16"/>
  <c r="C366" i="14"/>
  <c r="C29" i="16" s="1"/>
  <c r="C365" i="14"/>
  <c r="C28" i="16" s="1"/>
  <c r="C364" i="14"/>
  <c r="C27" i="16" s="1"/>
  <c r="C363" i="14"/>
  <c r="C26" i="16" s="1"/>
  <c r="C361" i="14"/>
  <c r="C25" i="16" s="1"/>
  <c r="C359" i="14"/>
  <c r="C22" i="16" s="1"/>
  <c r="C360" i="14"/>
  <c r="C24" i="16" s="1"/>
  <c r="C362" i="14"/>
  <c r="C23" i="16" s="1"/>
  <c r="C358" i="14"/>
  <c r="C21" i="16" s="1"/>
  <c r="C357" i="14"/>
  <c r="C20" i="16" s="1"/>
  <c r="C356" i="14"/>
  <c r="C19" i="16" s="1"/>
  <c r="C355" i="14"/>
  <c r="C18" i="16" s="1"/>
  <c r="M13" i="14"/>
  <c r="K279" i="14"/>
  <c r="K236" i="14"/>
  <c r="M89" i="14"/>
  <c r="K224" i="14"/>
  <c r="K159" i="14"/>
  <c r="O208" i="14"/>
  <c r="O207" i="14"/>
  <c r="A278" i="14"/>
  <c r="A273" i="14"/>
  <c r="A257" i="14"/>
  <c r="A249" i="14"/>
  <c r="A247" i="14"/>
  <c r="A244" i="14"/>
  <c r="A242" i="14"/>
  <c r="A207" i="14"/>
  <c r="A208" i="14" s="1"/>
  <c r="O287" i="14"/>
  <c r="R287" i="14" s="1"/>
  <c r="J287" i="14"/>
  <c r="O286" i="14"/>
  <c r="R286" i="14" s="1"/>
  <c r="J286" i="14"/>
  <c r="O289" i="14"/>
  <c r="R289" i="14" s="1"/>
  <c r="J289" i="14"/>
  <c r="O288" i="14"/>
  <c r="R288" i="14" s="1"/>
  <c r="J288" i="14"/>
  <c r="O285" i="14"/>
  <c r="R285" i="14" s="1"/>
  <c r="J285" i="14"/>
  <c r="O284" i="14"/>
  <c r="R284" i="14" s="1"/>
  <c r="J284" i="14"/>
  <c r="O278" i="14"/>
  <c r="R278" i="14" s="1"/>
  <c r="J278" i="14"/>
  <c r="O277" i="14"/>
  <c r="R277" i="14" s="1"/>
  <c r="J277" i="14"/>
  <c r="O276" i="14"/>
  <c r="R276" i="14" s="1"/>
  <c r="O273" i="14"/>
  <c r="R273" i="14" s="1"/>
  <c r="O270" i="14"/>
  <c r="R270" i="14" s="1"/>
  <c r="O269" i="14"/>
  <c r="R269" i="14" s="1"/>
  <c r="J276" i="14"/>
  <c r="J275" i="14"/>
  <c r="J273" i="14"/>
  <c r="J272" i="14"/>
  <c r="J270" i="14"/>
  <c r="J269" i="14"/>
  <c r="J268" i="14"/>
  <c r="J267" i="14"/>
  <c r="J262" i="14"/>
  <c r="J261" i="14"/>
  <c r="J260" i="14"/>
  <c r="J258" i="14"/>
  <c r="J257" i="14"/>
  <c r="J256" i="14"/>
  <c r="J255" i="14"/>
  <c r="O249" i="14"/>
  <c r="R249" i="14" s="1"/>
  <c r="J249" i="14"/>
  <c r="O248" i="14"/>
  <c r="R248" i="14" s="1"/>
  <c r="J248" i="14"/>
  <c r="J247" i="14"/>
  <c r="J246" i="14"/>
  <c r="O244" i="14"/>
  <c r="R244" i="14" s="1"/>
  <c r="O243" i="14"/>
  <c r="R243" i="14" s="1"/>
  <c r="O242" i="14"/>
  <c r="R242" i="14" s="1"/>
  <c r="O241" i="14"/>
  <c r="R241" i="14" s="1"/>
  <c r="O235" i="14"/>
  <c r="R235" i="14" s="1"/>
  <c r="J235" i="14"/>
  <c r="O234" i="14"/>
  <c r="R234" i="14" s="1"/>
  <c r="J234" i="14"/>
  <c r="J232" i="14"/>
  <c r="J233" i="14"/>
  <c r="O214" i="14"/>
  <c r="R214" i="14" s="1"/>
  <c r="O213" i="14"/>
  <c r="R213" i="14" s="1"/>
  <c r="N89" i="14"/>
  <c r="X220" i="14" l="1"/>
  <c r="Y220" i="14"/>
  <c r="AB220" i="14"/>
  <c r="Z220" i="14"/>
  <c r="AA220" i="14"/>
  <c r="Y211" i="14"/>
  <c r="Z211" i="14"/>
  <c r="X219" i="14"/>
  <c r="AA219" i="14"/>
  <c r="Y219" i="14"/>
  <c r="X217" i="14"/>
  <c r="Y217" i="14"/>
  <c r="AB217" i="14"/>
  <c r="Z217" i="14"/>
  <c r="AA217" i="14"/>
  <c r="X211" i="14"/>
  <c r="AB211" i="14"/>
  <c r="AA211" i="14"/>
  <c r="Z219" i="14"/>
  <c r="AB219" i="14"/>
  <c r="AB143" i="14"/>
  <c r="Z143" i="14"/>
  <c r="AA141" i="14"/>
  <c r="X141" i="14"/>
  <c r="AA145" i="14"/>
  <c r="X145" i="14"/>
  <c r="AA144" i="14"/>
  <c r="X144" i="14"/>
  <c r="X146" i="14"/>
  <c r="AA146" i="14"/>
  <c r="AB147" i="14"/>
  <c r="Z147" i="14"/>
  <c r="AA148" i="14"/>
  <c r="X148" i="14"/>
  <c r="X142" i="14"/>
  <c r="AA142" i="14"/>
  <c r="AA143" i="14"/>
  <c r="X143" i="14"/>
  <c r="Z141" i="14"/>
  <c r="AB141" i="14"/>
  <c r="Z145" i="14"/>
  <c r="AB145" i="14"/>
  <c r="Z144" i="14"/>
  <c r="AB144" i="14"/>
  <c r="AB146" i="14"/>
  <c r="Z146" i="14"/>
  <c r="AA147" i="14"/>
  <c r="X147" i="14"/>
  <c r="Z148" i="14"/>
  <c r="AB148" i="14"/>
  <c r="AB142" i="14"/>
  <c r="Z142" i="14"/>
  <c r="AB268" i="14"/>
  <c r="Y268" i="14"/>
  <c r="AB256" i="14"/>
  <c r="AA256" i="14"/>
  <c r="Y256" i="14"/>
  <c r="X268" i="14"/>
  <c r="Z268" i="14"/>
  <c r="AA268" i="14"/>
  <c r="Z256" i="14"/>
  <c r="X256" i="14"/>
  <c r="AB229" i="14"/>
  <c r="Z230" i="14"/>
  <c r="X230" i="14"/>
  <c r="Y228" i="14"/>
  <c r="Z228" i="14"/>
  <c r="Y229" i="14"/>
  <c r="Z229" i="14"/>
  <c r="X229" i="14"/>
  <c r="AB230" i="14"/>
  <c r="AA230" i="14"/>
  <c r="Y230" i="14"/>
  <c r="X228" i="14"/>
  <c r="AB228" i="14"/>
  <c r="AA228" i="14"/>
  <c r="AA229" i="14"/>
  <c r="AB216" i="14"/>
  <c r="AA216" i="14"/>
  <c r="Z216" i="14"/>
  <c r="X216" i="14"/>
  <c r="Y216" i="14"/>
  <c r="U204" i="14"/>
  <c r="V204" i="14" s="1"/>
  <c r="U12" i="14"/>
  <c r="AC216" i="14"/>
  <c r="AC217" i="14"/>
  <c r="AC219" i="14"/>
  <c r="AC220" i="14"/>
  <c r="AC213" i="14"/>
  <c r="AC214" i="14"/>
  <c r="AC211" i="14"/>
  <c r="AC210" i="14"/>
  <c r="Z210" i="14"/>
  <c r="AB210" i="14"/>
  <c r="X210" i="14"/>
  <c r="AA210" i="14"/>
  <c r="Y210" i="14"/>
  <c r="Y214" i="14"/>
  <c r="Z214" i="14"/>
  <c r="AA214" i="14"/>
  <c r="AB214" i="14"/>
  <c r="X214" i="14"/>
  <c r="Z213" i="14"/>
  <c r="AA213" i="14"/>
  <c r="AB213" i="14"/>
  <c r="X213" i="14"/>
  <c r="Y213" i="14"/>
  <c r="AA248" i="14"/>
  <c r="AB248" i="14"/>
  <c r="X248" i="14"/>
  <c r="Y248" i="14"/>
  <c r="Z248" i="14"/>
  <c r="Z243" i="14"/>
  <c r="AA243" i="14"/>
  <c r="AB243" i="14"/>
  <c r="X243" i="14"/>
  <c r="Y243" i="14"/>
  <c r="Y269" i="14"/>
  <c r="Z269" i="14"/>
  <c r="AA269" i="14"/>
  <c r="AB269" i="14"/>
  <c r="X269" i="14"/>
  <c r="Z249" i="14"/>
  <c r="AA249" i="14"/>
  <c r="AB249" i="14"/>
  <c r="X249" i="14"/>
  <c r="Y249" i="14"/>
  <c r="AB276" i="14"/>
  <c r="X276" i="14"/>
  <c r="Y276" i="14"/>
  <c r="Z276" i="14"/>
  <c r="AA276" i="14"/>
  <c r="Z278" i="14"/>
  <c r="AA278" i="14"/>
  <c r="AB278" i="14"/>
  <c r="X278" i="14"/>
  <c r="Y278" i="14"/>
  <c r="AA285" i="14"/>
  <c r="Z285" i="14"/>
  <c r="Y285" i="14"/>
  <c r="X285" i="14"/>
  <c r="AB285" i="14"/>
  <c r="AA289" i="14"/>
  <c r="Z289" i="14"/>
  <c r="Y289" i="14"/>
  <c r="X289" i="14"/>
  <c r="AB289" i="14"/>
  <c r="Y287" i="14"/>
  <c r="X287" i="14"/>
  <c r="AB287" i="14"/>
  <c r="AA287" i="14"/>
  <c r="Z287" i="14"/>
  <c r="AA242" i="14"/>
  <c r="AB242" i="14"/>
  <c r="X242" i="14"/>
  <c r="Y242" i="14"/>
  <c r="Z242" i="14"/>
  <c r="AA241" i="14"/>
  <c r="AB241" i="14"/>
  <c r="Z241" i="14"/>
  <c r="Y241" i="14"/>
  <c r="X241" i="14"/>
  <c r="Z273" i="14"/>
  <c r="AA273" i="14"/>
  <c r="AB273" i="14"/>
  <c r="X273" i="14"/>
  <c r="Y273" i="14"/>
  <c r="Y244" i="14"/>
  <c r="Z244" i="14"/>
  <c r="AA244" i="14"/>
  <c r="AB244" i="14"/>
  <c r="X244" i="14"/>
  <c r="AB270" i="14"/>
  <c r="X270" i="14"/>
  <c r="Y270" i="14"/>
  <c r="Z270" i="14"/>
  <c r="AA270" i="14"/>
  <c r="AA277" i="14"/>
  <c r="AB277" i="14"/>
  <c r="X277" i="14"/>
  <c r="Y277" i="14"/>
  <c r="Z277" i="14"/>
  <c r="AB284" i="14"/>
  <c r="AA284" i="14"/>
  <c r="X284" i="14"/>
  <c r="Z284" i="14"/>
  <c r="Y284" i="14"/>
  <c r="X288" i="14"/>
  <c r="AB288" i="14"/>
  <c r="AA288" i="14"/>
  <c r="Z288" i="14"/>
  <c r="Y288" i="14"/>
  <c r="Z286" i="14"/>
  <c r="Y286" i="14"/>
  <c r="X286" i="14"/>
  <c r="AB286" i="14"/>
  <c r="AA286" i="14"/>
  <c r="AB227" i="14"/>
  <c r="AA227" i="14"/>
  <c r="Y227" i="14"/>
  <c r="Z227" i="14"/>
  <c r="X227" i="14"/>
  <c r="X157" i="14"/>
  <c r="AA155" i="14"/>
  <c r="X156" i="14"/>
  <c r="AB157" i="14"/>
  <c r="Z155" i="14"/>
  <c r="AB156" i="14"/>
  <c r="AA157" i="14"/>
  <c r="X155" i="14"/>
  <c r="AA156" i="14"/>
  <c r="Z157" i="14"/>
  <c r="AB155" i="14"/>
  <c r="Z156" i="14"/>
  <c r="R74" i="14"/>
  <c r="AB61" i="14"/>
  <c r="AA61" i="14"/>
  <c r="X61" i="14"/>
  <c r="Z61" i="14"/>
  <c r="AA65" i="14"/>
  <c r="AB65" i="14"/>
  <c r="X65" i="14"/>
  <c r="Z65" i="14"/>
  <c r="AB64" i="14"/>
  <c r="X64" i="14"/>
  <c r="Z64" i="14"/>
  <c r="AA64" i="14"/>
  <c r="Z69" i="14"/>
  <c r="X69" i="14"/>
  <c r="AB69" i="14"/>
  <c r="AA69" i="14"/>
  <c r="Z63" i="14"/>
  <c r="AA63" i="14"/>
  <c r="AB63" i="14"/>
  <c r="X63" i="14"/>
  <c r="Z67" i="14"/>
  <c r="AA67" i="14"/>
  <c r="AB67" i="14"/>
  <c r="X67" i="14"/>
  <c r="Z62" i="14"/>
  <c r="AA62" i="14"/>
  <c r="AB62" i="14"/>
  <c r="X62" i="14"/>
  <c r="Z66" i="14"/>
  <c r="AA66" i="14"/>
  <c r="AB66" i="14"/>
  <c r="X66" i="14"/>
  <c r="AA222" i="14"/>
  <c r="AA50" i="14"/>
  <c r="AB50" i="14"/>
  <c r="X50" i="14"/>
  <c r="Z50" i="14"/>
  <c r="X48" i="14"/>
  <c r="AB48" i="14"/>
  <c r="AA48" i="14"/>
  <c r="Z48" i="14"/>
  <c r="AB45" i="14"/>
  <c r="X45" i="14"/>
  <c r="Z45" i="14"/>
  <c r="AA45" i="14"/>
  <c r="R224" i="14"/>
  <c r="D43" i="15"/>
  <c r="D44" i="15" s="1"/>
  <c r="D45" i="15" s="1"/>
  <c r="D46" i="15" s="1"/>
  <c r="D47" i="15" s="1"/>
  <c r="L25" i="14"/>
  <c r="A258" i="14"/>
  <c r="A259" i="14" s="1"/>
  <c r="L89" i="14"/>
  <c r="J76" i="14"/>
  <c r="I77" i="14"/>
  <c r="O77" i="14" s="1"/>
  <c r="R77" i="14" s="1"/>
  <c r="I76" i="14"/>
  <c r="O246" i="14"/>
  <c r="R246" i="14" s="1"/>
  <c r="O233" i="14"/>
  <c r="R233" i="14" s="1"/>
  <c r="O232" i="14"/>
  <c r="R232" i="14" s="1"/>
  <c r="O275" i="14"/>
  <c r="R275" i="14" s="1"/>
  <c r="O272" i="14"/>
  <c r="R272" i="14" s="1"/>
  <c r="O267" i="14"/>
  <c r="R267" i="14" s="1"/>
  <c r="O262" i="14"/>
  <c r="R262" i="14" s="1"/>
  <c r="O261" i="14"/>
  <c r="R261" i="14" s="1"/>
  <c r="O260" i="14"/>
  <c r="R260" i="14" s="1"/>
  <c r="O259" i="14"/>
  <c r="R259" i="14" s="1"/>
  <c r="O258" i="14"/>
  <c r="R258" i="14" s="1"/>
  <c r="O257" i="14"/>
  <c r="R257" i="14" s="1"/>
  <c r="O255" i="14"/>
  <c r="R255" i="14" s="1"/>
  <c r="J168" i="14"/>
  <c r="O168" i="14"/>
  <c r="R168" i="14" s="1"/>
  <c r="J158" i="14"/>
  <c r="J154" i="14"/>
  <c r="O158" i="14"/>
  <c r="R158" i="14" s="1"/>
  <c r="O154" i="14"/>
  <c r="R154" i="14" s="1"/>
  <c r="O166" i="14"/>
  <c r="R166" i="14" s="1"/>
  <c r="J166" i="14"/>
  <c r="O162" i="14"/>
  <c r="R162" i="14" s="1"/>
  <c r="J162" i="14"/>
  <c r="J152" i="14"/>
  <c r="I152" i="14"/>
  <c r="O152" i="14" s="1"/>
  <c r="R152" i="14" s="1"/>
  <c r="J151" i="14"/>
  <c r="I151" i="14"/>
  <c r="O151" i="14" s="1"/>
  <c r="R151" i="14" s="1"/>
  <c r="J150" i="14"/>
  <c r="I150" i="14"/>
  <c r="O150" i="14" s="1"/>
  <c r="R150" i="14" s="1"/>
  <c r="J149" i="14"/>
  <c r="I149" i="14"/>
  <c r="O149" i="14" s="1"/>
  <c r="R149" i="14" s="1"/>
  <c r="J140" i="14"/>
  <c r="I140" i="14"/>
  <c r="O140" i="14" s="1"/>
  <c r="R140" i="14" s="1"/>
  <c r="J139" i="14"/>
  <c r="I139" i="14"/>
  <c r="O139" i="14" s="1"/>
  <c r="R139" i="14" s="1"/>
  <c r="J138" i="14"/>
  <c r="W4" i="5"/>
  <c r="V4" i="5"/>
  <c r="U4" i="5"/>
  <c r="T4" i="5"/>
  <c r="W5" i="5"/>
  <c r="V5" i="5"/>
  <c r="U5" i="5"/>
  <c r="T5" i="5"/>
  <c r="L5" i="5"/>
  <c r="K5" i="5"/>
  <c r="I5" i="5"/>
  <c r="J5" i="5"/>
  <c r="AC256" i="14" l="1"/>
  <c r="AA232" i="14"/>
  <c r="AA239" i="14" s="1"/>
  <c r="Z94" i="14"/>
  <c r="AB94" i="14"/>
  <c r="AB100" i="14" s="1"/>
  <c r="AA94" i="14"/>
  <c r="AA100" i="14" s="1"/>
  <c r="X94" i="14"/>
  <c r="X100" i="14" s="1"/>
  <c r="T225" i="14"/>
  <c r="D48" i="15"/>
  <c r="D49" i="15" s="1"/>
  <c r="D50" i="15" s="1"/>
  <c r="D51" i="15" s="1"/>
  <c r="D52" i="15" s="1"/>
  <c r="D53" i="15" s="1"/>
  <c r="D54" i="15" s="1"/>
  <c r="D55" i="15" s="1"/>
  <c r="D56" i="15" s="1"/>
  <c r="D57" i="15" s="1"/>
  <c r="D58" i="15" s="1"/>
  <c r="D59" i="15" s="1"/>
  <c r="D60" i="15" s="1"/>
  <c r="D61" i="15" s="1"/>
  <c r="D62" i="15" s="1"/>
  <c r="D63" i="15" s="1"/>
  <c r="D64" i="15" s="1"/>
  <c r="D65" i="15" s="1"/>
  <c r="D66" i="15" s="1"/>
  <c r="D67" i="15" s="1"/>
  <c r="D68" i="15" s="1"/>
  <c r="D69" i="15" s="1"/>
  <c r="AB255" i="14"/>
  <c r="AB264" i="14" s="1"/>
  <c r="AA255" i="14"/>
  <c r="AA264" i="14" s="1"/>
  <c r="X255" i="14"/>
  <c r="X264" i="14" s="1"/>
  <c r="Z255" i="14"/>
  <c r="Z264" i="14" s="1"/>
  <c r="Y255" i="14"/>
  <c r="Y260" i="14"/>
  <c r="Z260" i="14"/>
  <c r="AA260" i="14"/>
  <c r="AB260" i="14"/>
  <c r="X260" i="14"/>
  <c r="AA272" i="14"/>
  <c r="AB272" i="14"/>
  <c r="X272" i="14"/>
  <c r="Y272" i="14"/>
  <c r="Z272" i="14"/>
  <c r="AA246" i="14"/>
  <c r="AB246" i="14"/>
  <c r="X246" i="14"/>
  <c r="Z246" i="14"/>
  <c r="Y246" i="14"/>
  <c r="Z259" i="14"/>
  <c r="AA259" i="14"/>
  <c r="AB259" i="14"/>
  <c r="X259" i="14"/>
  <c r="Y259" i="14"/>
  <c r="AA267" i="14"/>
  <c r="AB267" i="14"/>
  <c r="X267" i="14"/>
  <c r="Z267" i="14"/>
  <c r="Y267" i="14"/>
  <c r="Z233" i="14"/>
  <c r="AA233" i="14"/>
  <c r="AB233" i="14"/>
  <c r="X233" i="14"/>
  <c r="Y233" i="14"/>
  <c r="AB235" i="14"/>
  <c r="X235" i="14"/>
  <c r="Y235" i="14"/>
  <c r="Z235" i="14"/>
  <c r="AA235" i="14"/>
  <c r="AA258" i="14"/>
  <c r="AB258" i="14"/>
  <c r="X258" i="14"/>
  <c r="Y258" i="14"/>
  <c r="Z258" i="14"/>
  <c r="AA262" i="14"/>
  <c r="AB262" i="14"/>
  <c r="X262" i="14"/>
  <c r="Y262" i="14"/>
  <c r="Z262" i="14"/>
  <c r="Y234" i="14"/>
  <c r="Z234" i="14"/>
  <c r="AA234" i="14"/>
  <c r="AB234" i="14"/>
  <c r="X234" i="14"/>
  <c r="U206" i="14"/>
  <c r="V206" i="14"/>
  <c r="W206" i="14"/>
  <c r="S206" i="14"/>
  <c r="T206" i="14"/>
  <c r="AB257" i="14"/>
  <c r="X257" i="14"/>
  <c r="Y257" i="14"/>
  <c r="Z257" i="14"/>
  <c r="AA257" i="14"/>
  <c r="AB261" i="14"/>
  <c r="X261" i="14"/>
  <c r="Y261" i="14"/>
  <c r="Z261" i="14"/>
  <c r="AA261" i="14"/>
  <c r="Y275" i="14"/>
  <c r="Z275" i="14"/>
  <c r="AA275" i="14"/>
  <c r="AB275" i="14"/>
  <c r="X275" i="14"/>
  <c r="AB247" i="14"/>
  <c r="X247" i="14"/>
  <c r="Y247" i="14"/>
  <c r="Z247" i="14"/>
  <c r="AA247" i="14"/>
  <c r="AA223" i="14"/>
  <c r="Z222" i="14"/>
  <c r="X222" i="14"/>
  <c r="AB222" i="14"/>
  <c r="X223" i="14"/>
  <c r="AB223" i="14"/>
  <c r="Z223" i="14"/>
  <c r="AC229" i="14"/>
  <c r="AC227" i="14"/>
  <c r="AC237" i="14" s="1"/>
  <c r="AC230" i="14"/>
  <c r="AC228" i="14"/>
  <c r="AB237" i="14"/>
  <c r="AA237" i="14"/>
  <c r="Z237" i="14"/>
  <c r="Y237" i="14"/>
  <c r="X237" i="14"/>
  <c r="AB139" i="14"/>
  <c r="AB154" i="14"/>
  <c r="Y252" i="14"/>
  <c r="AC249" i="14"/>
  <c r="AC243" i="14"/>
  <c r="AC284" i="14"/>
  <c r="AC289" i="14"/>
  <c r="AC244" i="14"/>
  <c r="AC248" i="14"/>
  <c r="AC270" i="14"/>
  <c r="AC285" i="14"/>
  <c r="AC277" i="14"/>
  <c r="AC242" i="14"/>
  <c r="AC286" i="14"/>
  <c r="AC273" i="14"/>
  <c r="Z280" i="14"/>
  <c r="AA280" i="14"/>
  <c r="AB280" i="14"/>
  <c r="X280" i="14"/>
  <c r="Y280" i="14"/>
  <c r="Z252" i="14"/>
  <c r="X252" i="14"/>
  <c r="AC268" i="14"/>
  <c r="AC288" i="14"/>
  <c r="AB282" i="14"/>
  <c r="X282" i="14"/>
  <c r="Y282" i="14"/>
  <c r="AC241" i="14"/>
  <c r="AC287" i="14"/>
  <c r="AC278" i="14"/>
  <c r="AC276" i="14"/>
  <c r="AC269" i="14"/>
  <c r="Y253" i="14"/>
  <c r="Z253" i="14"/>
  <c r="AA150" i="14"/>
  <c r="Z150" i="14"/>
  <c r="X150" i="14"/>
  <c r="AB150" i="14"/>
  <c r="X152" i="14"/>
  <c r="AB152" i="14"/>
  <c r="AA152" i="14"/>
  <c r="Z152" i="14"/>
  <c r="AA154" i="14"/>
  <c r="Z138" i="14"/>
  <c r="AB140" i="14"/>
  <c r="X138" i="14"/>
  <c r="AA158" i="14"/>
  <c r="Z158" i="14"/>
  <c r="X158" i="14"/>
  <c r="AB158" i="14"/>
  <c r="AA138" i="14"/>
  <c r="Z139" i="14"/>
  <c r="X139" i="14"/>
  <c r="Z140" i="14"/>
  <c r="Z151" i="14"/>
  <c r="X151" i="14"/>
  <c r="AB151" i="14"/>
  <c r="AA151" i="14"/>
  <c r="X168" i="14"/>
  <c r="AB168" i="14"/>
  <c r="AA168" i="14"/>
  <c r="Z168" i="14"/>
  <c r="AA140" i="14"/>
  <c r="X154" i="14"/>
  <c r="AA139" i="14"/>
  <c r="Z154" i="14"/>
  <c r="X149" i="14"/>
  <c r="AB149" i="14"/>
  <c r="AA149" i="14"/>
  <c r="Z149" i="14"/>
  <c r="Z166" i="14"/>
  <c r="X166" i="14"/>
  <c r="AB166" i="14"/>
  <c r="AA166" i="14"/>
  <c r="X140" i="14"/>
  <c r="AB138" i="14"/>
  <c r="AA162" i="14"/>
  <c r="Z162" i="14"/>
  <c r="X162" i="14"/>
  <c r="AB162" i="14"/>
  <c r="R159" i="14"/>
  <c r="S180" i="14" s="1"/>
  <c r="R279" i="14"/>
  <c r="X253" i="14"/>
  <c r="R250" i="14"/>
  <c r="O76" i="14"/>
  <c r="R76" i="14" s="1"/>
  <c r="A260" i="14"/>
  <c r="A261" i="14"/>
  <c r="A262" i="14" s="1"/>
  <c r="M173" i="14"/>
  <c r="I138" i="5"/>
  <c r="I137" i="5"/>
  <c r="I136" i="5"/>
  <c r="I135" i="5"/>
  <c r="I134" i="5"/>
  <c r="I133" i="5"/>
  <c r="I99" i="5"/>
  <c r="E182" i="5"/>
  <c r="E181" i="5"/>
  <c r="E180" i="5"/>
  <c r="E179" i="5"/>
  <c r="E178" i="5"/>
  <c r="E177" i="5"/>
  <c r="E176" i="5"/>
  <c r="E175" i="5"/>
  <c r="E174" i="5"/>
  <c r="E173" i="5"/>
  <c r="E172" i="5"/>
  <c r="E171" i="5"/>
  <c r="E170" i="5"/>
  <c r="E169" i="5"/>
  <c r="E156" i="5"/>
  <c r="E155" i="5"/>
  <c r="E154" i="5"/>
  <c r="E153" i="5"/>
  <c r="E152" i="5"/>
  <c r="E151" i="5"/>
  <c r="E150" i="5"/>
  <c r="E149" i="5"/>
  <c r="E148" i="5"/>
  <c r="E147" i="5"/>
  <c r="E146" i="5"/>
  <c r="E145" i="5"/>
  <c r="E144" i="5"/>
  <c r="E143" i="5"/>
  <c r="E142" i="5"/>
  <c r="E141" i="5"/>
  <c r="E140" i="5"/>
  <c r="E139" i="5"/>
  <c r="E138" i="5"/>
  <c r="E137" i="5"/>
  <c r="E136" i="5"/>
  <c r="E135" i="5"/>
  <c r="E134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X4" i="5"/>
  <c r="AB232" i="14" l="1"/>
  <c r="AB239" i="14" s="1"/>
  <c r="Y232" i="14"/>
  <c r="Y239" i="14" s="1"/>
  <c r="R236" i="14"/>
  <c r="S298" i="14" s="1"/>
  <c r="X232" i="14"/>
  <c r="X239" i="14" s="1"/>
  <c r="Z232" i="14"/>
  <c r="W216" i="14"/>
  <c r="W210" i="14"/>
  <c r="W217" i="14"/>
  <c r="W211" i="14"/>
  <c r="W219" i="14"/>
  <c r="W213" i="14"/>
  <c r="W220" i="14"/>
  <c r="W214" i="14"/>
  <c r="S216" i="14"/>
  <c r="S210" i="14"/>
  <c r="S217" i="14"/>
  <c r="S211" i="14"/>
  <c r="S219" i="14"/>
  <c r="S213" i="14"/>
  <c r="S220" i="14"/>
  <c r="S214" i="14"/>
  <c r="T220" i="14"/>
  <c r="T214" i="14"/>
  <c r="T216" i="14"/>
  <c r="T210" i="14"/>
  <c r="T217" i="14"/>
  <c r="T211" i="14"/>
  <c r="T219" i="14"/>
  <c r="T213" i="14"/>
  <c r="U219" i="14"/>
  <c r="U213" i="14"/>
  <c r="U220" i="14"/>
  <c r="U214" i="14"/>
  <c r="U216" i="14"/>
  <c r="U210" i="14"/>
  <c r="U217" i="14"/>
  <c r="U211" i="14"/>
  <c r="V217" i="14"/>
  <c r="V211" i="14"/>
  <c r="V219" i="14"/>
  <c r="V213" i="14"/>
  <c r="V220" i="14"/>
  <c r="V214" i="14"/>
  <c r="V216" i="14"/>
  <c r="V210" i="14"/>
  <c r="W256" i="14"/>
  <c r="T256" i="14"/>
  <c r="V256" i="14"/>
  <c r="S256" i="14"/>
  <c r="S277" i="14"/>
  <c r="S244" i="14"/>
  <c r="S284" i="14"/>
  <c r="S292" i="14" s="1"/>
  <c r="S278" i="14"/>
  <c r="S276" i="14"/>
  <c r="S270" i="14"/>
  <c r="S248" i="14"/>
  <c r="S249" i="14"/>
  <c r="W269" i="14"/>
  <c r="W241" i="14"/>
  <c r="W268" i="14"/>
  <c r="W273" i="14"/>
  <c r="W285" i="14"/>
  <c r="W289" i="14"/>
  <c r="W243" i="14"/>
  <c r="W242" i="14"/>
  <c r="T287" i="14"/>
  <c r="V230" i="14"/>
  <c r="T288" i="14"/>
  <c r="U228" i="14"/>
  <c r="T286" i="14"/>
  <c r="W229" i="14"/>
  <c r="U256" i="14"/>
  <c r="T248" i="14"/>
  <c r="T278" i="14"/>
  <c r="T277" i="14"/>
  <c r="T285" i="14"/>
  <c r="U287" i="14"/>
  <c r="U286" i="14"/>
  <c r="U243" i="14"/>
  <c r="U269" i="14"/>
  <c r="V249" i="14"/>
  <c r="V276" i="14"/>
  <c r="V288" i="14"/>
  <c r="V287" i="14"/>
  <c r="S243" i="14"/>
  <c r="S269" i="14"/>
  <c r="S273" i="14"/>
  <c r="W249" i="14"/>
  <c r="W276" i="14"/>
  <c r="W288" i="14"/>
  <c r="W287" i="14"/>
  <c r="W286" i="14"/>
  <c r="T243" i="14"/>
  <c r="T269" i="14"/>
  <c r="T273" i="14"/>
  <c r="T249" i="14"/>
  <c r="T276" i="14"/>
  <c r="U278" i="14"/>
  <c r="U277" i="14"/>
  <c r="U285" i="14"/>
  <c r="V244" i="14"/>
  <c r="V270" i="14"/>
  <c r="V248" i="14"/>
  <c r="V278" i="14"/>
  <c r="S285" i="14"/>
  <c r="S242" i="14"/>
  <c r="S268" i="14"/>
  <c r="W244" i="14"/>
  <c r="W270" i="14"/>
  <c r="W248" i="14"/>
  <c r="W278" i="14"/>
  <c r="W277" i="14"/>
  <c r="T242" i="14"/>
  <c r="T268" i="14"/>
  <c r="T244" i="14"/>
  <c r="T270" i="14"/>
  <c r="U273" i="14"/>
  <c r="U249" i="14"/>
  <c r="U276" i="14"/>
  <c r="U288" i="14"/>
  <c r="V286" i="14"/>
  <c r="V243" i="14"/>
  <c r="V269" i="14"/>
  <c r="V273" i="14"/>
  <c r="S288" i="14"/>
  <c r="S287" i="14"/>
  <c r="S286" i="14"/>
  <c r="U242" i="14"/>
  <c r="U268" i="14"/>
  <c r="U244" i="14"/>
  <c r="U270" i="14"/>
  <c r="U248" i="14"/>
  <c r="V277" i="14"/>
  <c r="V285" i="14"/>
  <c r="V242" i="14"/>
  <c r="V268" i="14"/>
  <c r="T289" i="14"/>
  <c r="S289" i="14"/>
  <c r="V289" i="14"/>
  <c r="U289" i="14"/>
  <c r="T284" i="14"/>
  <c r="T292" i="14" s="1"/>
  <c r="W284" i="14"/>
  <c r="W292" i="14" s="1"/>
  <c r="V284" i="14"/>
  <c r="V292" i="14" s="1"/>
  <c r="U284" i="14"/>
  <c r="U292" i="14" s="1"/>
  <c r="AB253" i="14"/>
  <c r="AB252" i="14"/>
  <c r="AA253" i="14"/>
  <c r="AA252" i="14"/>
  <c r="V241" i="14"/>
  <c r="S241" i="14"/>
  <c r="U241" i="14"/>
  <c r="T241" i="14"/>
  <c r="T228" i="14"/>
  <c r="S227" i="14"/>
  <c r="S237" i="14" s="1"/>
  <c r="S230" i="14"/>
  <c r="W228" i="14"/>
  <c r="T230" i="14"/>
  <c r="U227" i="14"/>
  <c r="U237" i="14" s="1"/>
  <c r="U229" i="14"/>
  <c r="V227" i="14"/>
  <c r="V237" i="14" s="1"/>
  <c r="V228" i="14"/>
  <c r="S228" i="14"/>
  <c r="W230" i="14"/>
  <c r="W227" i="14"/>
  <c r="W237" i="14" s="1"/>
  <c r="T229" i="14"/>
  <c r="T227" i="14"/>
  <c r="T237" i="14" s="1"/>
  <c r="U230" i="14"/>
  <c r="V229" i="14"/>
  <c r="S229" i="14"/>
  <c r="Y238" i="14"/>
  <c r="AB238" i="14"/>
  <c r="X238" i="14"/>
  <c r="AA238" i="14"/>
  <c r="Z238" i="14"/>
  <c r="X265" i="14"/>
  <c r="X263" i="14"/>
  <c r="AA265" i="14"/>
  <c r="AA263" i="14"/>
  <c r="AB265" i="14"/>
  <c r="AB263" i="14"/>
  <c r="Z265" i="14"/>
  <c r="Z263" i="14"/>
  <c r="Z282" i="14"/>
  <c r="AA282" i="14"/>
  <c r="X281" i="14"/>
  <c r="Z281" i="14"/>
  <c r="AA281" i="14"/>
  <c r="AB281" i="14"/>
  <c r="Y281" i="14"/>
  <c r="AC233" i="14"/>
  <c r="AC257" i="14"/>
  <c r="AC234" i="14"/>
  <c r="AC258" i="14"/>
  <c r="AC259" i="14"/>
  <c r="X160" i="14"/>
  <c r="X174" i="14" s="1"/>
  <c r="AB160" i="14"/>
  <c r="AB174" i="14" s="1"/>
  <c r="Z160" i="14"/>
  <c r="Z174" i="14" s="1"/>
  <c r="AC267" i="14"/>
  <c r="AC247" i="14"/>
  <c r="AC275" i="14"/>
  <c r="AC261" i="14"/>
  <c r="AC262" i="14"/>
  <c r="AC272" i="14"/>
  <c r="AC235" i="14"/>
  <c r="AC260" i="14"/>
  <c r="AA160" i="14"/>
  <c r="AA174" i="14" s="1"/>
  <c r="AC246" i="14"/>
  <c r="Z76" i="14"/>
  <c r="AA76" i="14"/>
  <c r="AB76" i="14"/>
  <c r="X76" i="14"/>
  <c r="X77" i="14"/>
  <c r="AB77" i="14"/>
  <c r="AA77" i="14"/>
  <c r="Z77" i="14"/>
  <c r="R173" i="14"/>
  <c r="DP4" i="5"/>
  <c r="EV4" i="5"/>
  <c r="GB4" i="5"/>
  <c r="CJ4" i="5"/>
  <c r="BD4" i="5"/>
  <c r="G18" i="16"/>
  <c r="G17" i="16" s="1"/>
  <c r="C8" i="16"/>
  <c r="AC232" i="14" l="1"/>
  <c r="T232" i="14" s="1"/>
  <c r="Z239" i="14"/>
  <c r="S225" i="14"/>
  <c r="W223" i="14"/>
  <c r="W222" i="14"/>
  <c r="V223" i="14"/>
  <c r="V222" i="14"/>
  <c r="U223" i="14"/>
  <c r="U222" i="14"/>
  <c r="T223" i="14"/>
  <c r="T222" i="14"/>
  <c r="S223" i="14"/>
  <c r="S222" i="14"/>
  <c r="T260" i="14"/>
  <c r="S260" i="14"/>
  <c r="W260" i="14"/>
  <c r="V260" i="14"/>
  <c r="U260" i="14"/>
  <c r="W272" i="14"/>
  <c r="U272" i="14"/>
  <c r="T272" i="14"/>
  <c r="S272" i="14"/>
  <c r="V272" i="14"/>
  <c r="W258" i="14"/>
  <c r="V258" i="14"/>
  <c r="S258" i="14"/>
  <c r="U258" i="14"/>
  <c r="T258" i="14"/>
  <c r="W259" i="14"/>
  <c r="U259" i="14"/>
  <c r="T259" i="14"/>
  <c r="S259" i="14"/>
  <c r="V259" i="14"/>
  <c r="T257" i="14"/>
  <c r="S257" i="14"/>
  <c r="U257" i="14"/>
  <c r="W257" i="14"/>
  <c r="V257" i="14"/>
  <c r="W261" i="14"/>
  <c r="V261" i="14"/>
  <c r="T261" i="14"/>
  <c r="S261" i="14"/>
  <c r="U261" i="14"/>
  <c r="W247" i="14"/>
  <c r="V247" i="14"/>
  <c r="U247" i="14"/>
  <c r="T247" i="14"/>
  <c r="S247" i="14"/>
  <c r="T262" i="14"/>
  <c r="W262" i="14"/>
  <c r="V262" i="14"/>
  <c r="S262" i="14"/>
  <c r="U262" i="14"/>
  <c r="S275" i="14"/>
  <c r="U275" i="14"/>
  <c r="W275" i="14"/>
  <c r="V275" i="14"/>
  <c r="T275" i="14"/>
  <c r="V267" i="14"/>
  <c r="U267" i="14"/>
  <c r="W267" i="14"/>
  <c r="S267" i="14"/>
  <c r="T267" i="14"/>
  <c r="S246" i="14"/>
  <c r="S252" i="14" s="1"/>
  <c r="W246" i="14"/>
  <c r="W252" i="14" s="1"/>
  <c r="V246" i="14"/>
  <c r="V252" i="14" s="1"/>
  <c r="U246" i="14"/>
  <c r="U252" i="14" s="1"/>
  <c r="T246" i="14"/>
  <c r="T252" i="14" s="1"/>
  <c r="W233" i="14"/>
  <c r="S233" i="14"/>
  <c r="T233" i="14"/>
  <c r="U233" i="14"/>
  <c r="V233" i="14"/>
  <c r="W234" i="14"/>
  <c r="S234" i="14"/>
  <c r="T234" i="14"/>
  <c r="U234" i="14"/>
  <c r="V234" i="14"/>
  <c r="V235" i="14"/>
  <c r="W235" i="14"/>
  <c r="U235" i="14"/>
  <c r="T235" i="14"/>
  <c r="S235" i="14"/>
  <c r="AC238" i="14"/>
  <c r="AC239" i="14"/>
  <c r="S238" i="14"/>
  <c r="W253" i="14"/>
  <c r="T253" i="14"/>
  <c r="V253" i="14"/>
  <c r="U253" i="14"/>
  <c r="R293" i="14"/>
  <c r="W280" i="14"/>
  <c r="S280" i="14"/>
  <c r="T280" i="14"/>
  <c r="U280" i="14"/>
  <c r="V280" i="14"/>
  <c r="U282" i="14"/>
  <c r="V282" i="14"/>
  <c r="S253" i="14"/>
  <c r="Z78" i="14"/>
  <c r="X78" i="14"/>
  <c r="AB78" i="14"/>
  <c r="AA78" i="14"/>
  <c r="W20" i="14"/>
  <c r="M12" i="14"/>
  <c r="A67" i="14"/>
  <c r="A66" i="14"/>
  <c r="A65" i="14"/>
  <c r="J67" i="14"/>
  <c r="U232" i="14" l="1"/>
  <c r="U238" i="14" s="1"/>
  <c r="V232" i="14"/>
  <c r="V239" i="14" s="1"/>
  <c r="W232" i="14"/>
  <c r="W238" i="14" s="1"/>
  <c r="S232" i="14"/>
  <c r="S239" i="14" s="1"/>
  <c r="Y47" i="14"/>
  <c r="AC47" i="14" s="1"/>
  <c r="Y46" i="14"/>
  <c r="AC46" i="14" s="1"/>
  <c r="Y53" i="14"/>
  <c r="AC53" i="14" s="1"/>
  <c r="Y33" i="14"/>
  <c r="AC33" i="14" s="1"/>
  <c r="Y147" i="14"/>
  <c r="AC147" i="14" s="1"/>
  <c r="Y52" i="14"/>
  <c r="AC52" i="14" s="1"/>
  <c r="Y72" i="14"/>
  <c r="AC72" i="14" s="1"/>
  <c r="Y29" i="14"/>
  <c r="AC29" i="14" s="1"/>
  <c r="Y142" i="14"/>
  <c r="AC142" i="14" s="1"/>
  <c r="Y155" i="14"/>
  <c r="AC155" i="14" s="1"/>
  <c r="Y34" i="14"/>
  <c r="AC34" i="14" s="1"/>
  <c r="Y141" i="14"/>
  <c r="AC141" i="14" s="1"/>
  <c r="Y157" i="14"/>
  <c r="AC157" i="14" s="1"/>
  <c r="Y32" i="14"/>
  <c r="AC32" i="14" s="1"/>
  <c r="Y144" i="14"/>
  <c r="AC144" i="14" s="1"/>
  <c r="Y73" i="14"/>
  <c r="AC73" i="14" s="1"/>
  <c r="Y51" i="14"/>
  <c r="AC51" i="14" s="1"/>
  <c r="Y165" i="14"/>
  <c r="AC165" i="14" s="1"/>
  <c r="Y163" i="14"/>
  <c r="AC163" i="14" s="1"/>
  <c r="Y36" i="14"/>
  <c r="AC36" i="14" s="1"/>
  <c r="Y146" i="14"/>
  <c r="AC146" i="14" s="1"/>
  <c r="Y156" i="14"/>
  <c r="AC156" i="14" s="1"/>
  <c r="Y31" i="14"/>
  <c r="AC31" i="14" s="1"/>
  <c r="Y148" i="14"/>
  <c r="AC148" i="14" s="1"/>
  <c r="Y70" i="14"/>
  <c r="AC70" i="14" s="1"/>
  <c r="Y164" i="14"/>
  <c r="AC164" i="14" s="1"/>
  <c r="Y30" i="14"/>
  <c r="AC30" i="14" s="1"/>
  <c r="Y143" i="14"/>
  <c r="AC143" i="14" s="1"/>
  <c r="Y71" i="14"/>
  <c r="AC71" i="14" s="1"/>
  <c r="Y35" i="14"/>
  <c r="AC35" i="14" s="1"/>
  <c r="Y145" i="14"/>
  <c r="AC145" i="14" s="1"/>
  <c r="Y54" i="14"/>
  <c r="AC54" i="14" s="1"/>
  <c r="Y170" i="14"/>
  <c r="AC170" i="14" s="1"/>
  <c r="Y169" i="14"/>
  <c r="AC169" i="14" s="1"/>
  <c r="Y171" i="14"/>
  <c r="AC171" i="14" s="1"/>
  <c r="Y172" i="14"/>
  <c r="AC172" i="14" s="1"/>
  <c r="Y82" i="14"/>
  <c r="AC82" i="14" s="1"/>
  <c r="Y83" i="14"/>
  <c r="AC83" i="14" s="1"/>
  <c r="Y81" i="14"/>
  <c r="AC81" i="14" s="1"/>
  <c r="Y84" i="14"/>
  <c r="AC84" i="14" s="1"/>
  <c r="Y86" i="14"/>
  <c r="AC86" i="14" s="1"/>
  <c r="Y85" i="14"/>
  <c r="AC85" i="14" s="1"/>
  <c r="Y80" i="14"/>
  <c r="AC80" i="14" s="1"/>
  <c r="Y87" i="14"/>
  <c r="AC87" i="14" s="1"/>
  <c r="Y79" i="14"/>
  <c r="AC79" i="14" s="1"/>
  <c r="Y63" i="14"/>
  <c r="AC63" i="14" s="1"/>
  <c r="Y62" i="14"/>
  <c r="AC62" i="14" s="1"/>
  <c r="Y65" i="14"/>
  <c r="AC65" i="14" s="1"/>
  <c r="Y64" i="14"/>
  <c r="AC64" i="14" s="1"/>
  <c r="Y67" i="14"/>
  <c r="AC67" i="14" s="1"/>
  <c r="Y66" i="14"/>
  <c r="AC66" i="14" s="1"/>
  <c r="Y166" i="14"/>
  <c r="AC166" i="14" s="1"/>
  <c r="Y150" i="14"/>
  <c r="AC150" i="14" s="1"/>
  <c r="Y151" i="14"/>
  <c r="AC151" i="14" s="1"/>
  <c r="Y149" i="14"/>
  <c r="AC149" i="14" s="1"/>
  <c r="Y140" i="14"/>
  <c r="AC140" i="14" s="1"/>
  <c r="Y152" i="14"/>
  <c r="AC152" i="14" s="1"/>
  <c r="Y158" i="14"/>
  <c r="AC158" i="14" s="1"/>
  <c r="Y77" i="14"/>
  <c r="AC77" i="14" s="1"/>
  <c r="S77" i="14" s="1"/>
  <c r="Y78" i="14"/>
  <c r="AC78" i="14" s="1"/>
  <c r="V78" i="14" s="1"/>
  <c r="T238" i="14"/>
  <c r="T239" i="14"/>
  <c r="U239" i="14"/>
  <c r="W239" i="14"/>
  <c r="V238" i="14"/>
  <c r="Y139" i="14"/>
  <c r="AC139" i="14" s="1"/>
  <c r="V139" i="14" s="1"/>
  <c r="Y168" i="14"/>
  <c r="AC168" i="14" s="1"/>
  <c r="Y76" i="14"/>
  <c r="AC76" i="14" s="1"/>
  <c r="S76" i="14" s="1"/>
  <c r="D225" i="14"/>
  <c r="Y50" i="14"/>
  <c r="AC50" i="14" s="1"/>
  <c r="Y162" i="14"/>
  <c r="AC162" i="14" s="1"/>
  <c r="Y69" i="14"/>
  <c r="AC69" i="14" s="1"/>
  <c r="U69" i="14" s="1"/>
  <c r="Y48" i="14"/>
  <c r="AC48" i="14" s="1"/>
  <c r="Y45" i="14"/>
  <c r="AC45" i="14" s="1"/>
  <c r="Y263" i="14"/>
  <c r="Y264" i="14"/>
  <c r="Y222" i="14"/>
  <c r="Y61" i="14"/>
  <c r="Y154" i="14"/>
  <c r="AC154" i="14" s="1"/>
  <c r="Y138" i="14"/>
  <c r="J55" i="14"/>
  <c r="C55" i="14"/>
  <c r="W282" i="14"/>
  <c r="S282" i="14"/>
  <c r="T282" i="14"/>
  <c r="U281" i="14"/>
  <c r="W281" i="14"/>
  <c r="V281" i="14"/>
  <c r="T281" i="14"/>
  <c r="S281" i="14"/>
  <c r="K101" i="14"/>
  <c r="K179" i="14"/>
  <c r="K297" i="14"/>
  <c r="J250" i="14"/>
  <c r="J279" i="14"/>
  <c r="C159" i="14"/>
  <c r="J224" i="14"/>
  <c r="J236" i="14"/>
  <c r="J159" i="14"/>
  <c r="J74" i="14"/>
  <c r="C74" i="14"/>
  <c r="J66" i="14"/>
  <c r="J65" i="14"/>
  <c r="I89" i="14"/>
  <c r="O89" i="14" s="1"/>
  <c r="R89" i="14" s="1"/>
  <c r="J43" i="14"/>
  <c r="I43" i="14"/>
  <c r="J42" i="14"/>
  <c r="I42" i="14"/>
  <c r="J41" i="14"/>
  <c r="I41" i="14"/>
  <c r="J40" i="14"/>
  <c r="I40" i="14"/>
  <c r="J39" i="14"/>
  <c r="I39" i="14"/>
  <c r="J38" i="14"/>
  <c r="I38" i="14"/>
  <c r="J37" i="14"/>
  <c r="I37" i="14"/>
  <c r="J28" i="14"/>
  <c r="I28" i="14"/>
  <c r="J27" i="14"/>
  <c r="I27" i="14"/>
  <c r="I26" i="14"/>
  <c r="I25" i="14"/>
  <c r="I24" i="14"/>
  <c r="J64" i="14"/>
  <c r="J63" i="14"/>
  <c r="J62" i="14"/>
  <c r="J89" i="14"/>
  <c r="Q89" i="14"/>
  <c r="B89" i="14"/>
  <c r="J69" i="14"/>
  <c r="J61" i="14"/>
  <c r="J50" i="14"/>
  <c r="J48" i="14"/>
  <c r="J45" i="14"/>
  <c r="J26" i="14"/>
  <c r="J25" i="14"/>
  <c r="J24" i="14"/>
  <c r="T77" i="14" l="1"/>
  <c r="V77" i="14"/>
  <c r="U77" i="14"/>
  <c r="W77" i="14"/>
  <c r="Y94" i="14"/>
  <c r="Y100" i="14" s="1"/>
  <c r="W152" i="14"/>
  <c r="V152" i="14"/>
  <c r="T152" i="14"/>
  <c r="U152" i="14"/>
  <c r="S152" i="14"/>
  <c r="W149" i="14"/>
  <c r="V149" i="14"/>
  <c r="T149" i="14"/>
  <c r="S149" i="14"/>
  <c r="U149" i="14"/>
  <c r="U150" i="14"/>
  <c r="V150" i="14"/>
  <c r="W150" i="14"/>
  <c r="S150" i="14"/>
  <c r="T150" i="14"/>
  <c r="V66" i="14"/>
  <c r="W66" i="14"/>
  <c r="S66" i="14"/>
  <c r="U66" i="14"/>
  <c r="T66" i="14"/>
  <c r="W64" i="14"/>
  <c r="U64" i="14"/>
  <c r="S64" i="14"/>
  <c r="V64" i="14"/>
  <c r="T64" i="14"/>
  <c r="U62" i="14"/>
  <c r="W62" i="14"/>
  <c r="T62" i="14"/>
  <c r="S62" i="14"/>
  <c r="V62" i="14"/>
  <c r="W79" i="14"/>
  <c r="U79" i="14"/>
  <c r="S79" i="14"/>
  <c r="V79" i="14"/>
  <c r="T79" i="14"/>
  <c r="U80" i="14"/>
  <c r="V80" i="14"/>
  <c r="S80" i="14"/>
  <c r="W80" i="14"/>
  <c r="T80" i="14"/>
  <c r="W86" i="14"/>
  <c r="U86" i="14"/>
  <c r="S86" i="14"/>
  <c r="V86" i="14"/>
  <c r="T86" i="14"/>
  <c r="U81" i="14"/>
  <c r="W81" i="14"/>
  <c r="V81" i="14"/>
  <c r="T81" i="14"/>
  <c r="S81" i="14"/>
  <c r="S82" i="14"/>
  <c r="T82" i="14"/>
  <c r="W82" i="14"/>
  <c r="U82" i="14"/>
  <c r="V82" i="14"/>
  <c r="V171" i="14"/>
  <c r="T171" i="14"/>
  <c r="U171" i="14"/>
  <c r="W171" i="14"/>
  <c r="S171" i="14"/>
  <c r="W170" i="14"/>
  <c r="S170" i="14"/>
  <c r="T170" i="14"/>
  <c r="U170" i="14"/>
  <c r="V170" i="14"/>
  <c r="U145" i="14"/>
  <c r="W145" i="14"/>
  <c r="T145" i="14"/>
  <c r="V145" i="14"/>
  <c r="S145" i="14"/>
  <c r="U71" i="14"/>
  <c r="T71" i="14"/>
  <c r="V71" i="14"/>
  <c r="S71" i="14"/>
  <c r="W71" i="14"/>
  <c r="U30" i="14"/>
  <c r="W30" i="14"/>
  <c r="T30" i="14"/>
  <c r="V30" i="14"/>
  <c r="S30" i="14"/>
  <c r="U70" i="14"/>
  <c r="V70" i="14"/>
  <c r="W70" i="14"/>
  <c r="T70" i="14"/>
  <c r="S70" i="14"/>
  <c r="U31" i="14"/>
  <c r="W31" i="14"/>
  <c r="T31" i="14"/>
  <c r="V31" i="14"/>
  <c r="S31" i="14"/>
  <c r="U146" i="14"/>
  <c r="W146" i="14"/>
  <c r="T146" i="14"/>
  <c r="V146" i="14"/>
  <c r="S146" i="14"/>
  <c r="S163" i="14"/>
  <c r="T163" i="14"/>
  <c r="V163" i="14"/>
  <c r="W163" i="14"/>
  <c r="U163" i="14"/>
  <c r="V51" i="14"/>
  <c r="T51" i="14"/>
  <c r="S51" i="14"/>
  <c r="W51" i="14"/>
  <c r="U51" i="14"/>
  <c r="W144" i="14"/>
  <c r="T144" i="14"/>
  <c r="V144" i="14"/>
  <c r="S144" i="14"/>
  <c r="U144" i="14"/>
  <c r="V157" i="14"/>
  <c r="U157" i="14"/>
  <c r="S157" i="14"/>
  <c r="T157" i="14"/>
  <c r="W157" i="14"/>
  <c r="V34" i="14"/>
  <c r="S34" i="14"/>
  <c r="U34" i="14"/>
  <c r="W34" i="14"/>
  <c r="T34" i="14"/>
  <c r="T142" i="14"/>
  <c r="V142" i="14"/>
  <c r="S142" i="14"/>
  <c r="U142" i="14"/>
  <c r="W142" i="14"/>
  <c r="W72" i="14"/>
  <c r="U72" i="14"/>
  <c r="V72" i="14"/>
  <c r="S72" i="14"/>
  <c r="T72" i="14"/>
  <c r="W147" i="14"/>
  <c r="T147" i="14"/>
  <c r="V147" i="14"/>
  <c r="S147" i="14"/>
  <c r="U147" i="14"/>
  <c r="V53" i="14"/>
  <c r="U53" i="14"/>
  <c r="S53" i="14"/>
  <c r="W53" i="14"/>
  <c r="T53" i="14"/>
  <c r="V47" i="14"/>
  <c r="S47" i="14"/>
  <c r="U47" i="14"/>
  <c r="W47" i="14"/>
  <c r="T47" i="14"/>
  <c r="T158" i="14"/>
  <c r="V158" i="14"/>
  <c r="S158" i="14"/>
  <c r="W158" i="14"/>
  <c r="U158" i="14"/>
  <c r="U140" i="14"/>
  <c r="S140" i="14"/>
  <c r="T140" i="14"/>
  <c r="V140" i="14"/>
  <c r="W140" i="14"/>
  <c r="W151" i="14"/>
  <c r="S151" i="14"/>
  <c r="U151" i="14"/>
  <c r="V151" i="14"/>
  <c r="T151" i="14"/>
  <c r="S166" i="14"/>
  <c r="W166" i="14"/>
  <c r="V166" i="14"/>
  <c r="U166" i="14"/>
  <c r="T166" i="14"/>
  <c r="T67" i="14"/>
  <c r="S67" i="14"/>
  <c r="W67" i="14"/>
  <c r="V67" i="14"/>
  <c r="U67" i="14"/>
  <c r="V65" i="14"/>
  <c r="T65" i="14"/>
  <c r="W65" i="14"/>
  <c r="U65" i="14"/>
  <c r="S65" i="14"/>
  <c r="T63" i="14"/>
  <c r="V63" i="14"/>
  <c r="U63" i="14"/>
  <c r="S63" i="14"/>
  <c r="W63" i="14"/>
  <c r="V87" i="14"/>
  <c r="U87" i="14"/>
  <c r="S87" i="14"/>
  <c r="W87" i="14"/>
  <c r="T87" i="14"/>
  <c r="T85" i="14"/>
  <c r="W85" i="14"/>
  <c r="V85" i="14"/>
  <c r="S85" i="14"/>
  <c r="U85" i="14"/>
  <c r="V84" i="14"/>
  <c r="T84" i="14"/>
  <c r="W84" i="14"/>
  <c r="U84" i="14"/>
  <c r="S84" i="14"/>
  <c r="U83" i="14"/>
  <c r="T83" i="14"/>
  <c r="S83" i="14"/>
  <c r="W83" i="14"/>
  <c r="V83" i="14"/>
  <c r="V172" i="14"/>
  <c r="U172" i="14"/>
  <c r="W172" i="14"/>
  <c r="S172" i="14"/>
  <c r="T172" i="14"/>
  <c r="U169" i="14"/>
  <c r="S169" i="14"/>
  <c r="T169" i="14"/>
  <c r="V169" i="14"/>
  <c r="W169" i="14"/>
  <c r="S54" i="14"/>
  <c r="V54" i="14"/>
  <c r="U54" i="14"/>
  <c r="T54" i="14"/>
  <c r="W54" i="14"/>
  <c r="S35" i="14"/>
  <c r="U35" i="14"/>
  <c r="W35" i="14"/>
  <c r="T35" i="14"/>
  <c r="V35" i="14"/>
  <c r="S143" i="14"/>
  <c r="U143" i="14"/>
  <c r="W143" i="14"/>
  <c r="T143" i="14"/>
  <c r="V143" i="14"/>
  <c r="U164" i="14"/>
  <c r="V164" i="14"/>
  <c r="W164" i="14"/>
  <c r="T164" i="14"/>
  <c r="S164" i="14"/>
  <c r="V148" i="14"/>
  <c r="S148" i="14"/>
  <c r="U148" i="14"/>
  <c r="W148" i="14"/>
  <c r="T148" i="14"/>
  <c r="V156" i="14"/>
  <c r="S156" i="14"/>
  <c r="T156" i="14"/>
  <c r="W156" i="14"/>
  <c r="U156" i="14"/>
  <c r="V36" i="14"/>
  <c r="S36" i="14"/>
  <c r="U36" i="14"/>
  <c r="W36" i="14"/>
  <c r="T36" i="14"/>
  <c r="S165" i="14"/>
  <c r="U165" i="14"/>
  <c r="W165" i="14"/>
  <c r="V165" i="14"/>
  <c r="T165" i="14"/>
  <c r="S73" i="14"/>
  <c r="V73" i="14"/>
  <c r="U73" i="14"/>
  <c r="W73" i="14"/>
  <c r="T73" i="14"/>
  <c r="U32" i="14"/>
  <c r="W32" i="14"/>
  <c r="T32" i="14"/>
  <c r="V32" i="14"/>
  <c r="S32" i="14"/>
  <c r="V141" i="14"/>
  <c r="S141" i="14"/>
  <c r="U141" i="14"/>
  <c r="W141" i="14"/>
  <c r="T141" i="14"/>
  <c r="W155" i="14"/>
  <c r="U155" i="14"/>
  <c r="S155" i="14"/>
  <c r="T155" i="14"/>
  <c r="V155" i="14"/>
  <c r="V29" i="14"/>
  <c r="S29" i="14"/>
  <c r="U29" i="14"/>
  <c r="W29" i="14"/>
  <c r="T29" i="14"/>
  <c r="S52" i="14"/>
  <c r="T52" i="14"/>
  <c r="U52" i="14"/>
  <c r="W52" i="14"/>
  <c r="V52" i="14"/>
  <c r="S33" i="14"/>
  <c r="U33" i="14"/>
  <c r="W33" i="14"/>
  <c r="T33" i="14"/>
  <c r="V33" i="14"/>
  <c r="U46" i="14"/>
  <c r="S46" i="14"/>
  <c r="V46" i="14"/>
  <c r="T46" i="14"/>
  <c r="W46" i="14"/>
  <c r="R111" i="14"/>
  <c r="R407" i="14"/>
  <c r="U139" i="14"/>
  <c r="T76" i="14"/>
  <c r="U76" i="14"/>
  <c r="W76" i="14"/>
  <c r="V76" i="14"/>
  <c r="V90" i="14"/>
  <c r="Z90" i="14"/>
  <c r="W93" i="14"/>
  <c r="AA93" i="14"/>
  <c r="U90" i="14"/>
  <c r="Y90" i="14"/>
  <c r="V93" i="14"/>
  <c r="Z93" i="14"/>
  <c r="T90" i="14"/>
  <c r="X90" i="14"/>
  <c r="AB90" i="14"/>
  <c r="U93" i="14"/>
  <c r="Y93" i="14"/>
  <c r="W90" i="14"/>
  <c r="AA90" i="14"/>
  <c r="T93" i="14"/>
  <c r="X93" i="14"/>
  <c r="AB93" i="14"/>
  <c r="S139" i="14"/>
  <c r="W139" i="14"/>
  <c r="T139" i="14"/>
  <c r="V168" i="14"/>
  <c r="U168" i="14"/>
  <c r="W168" i="14"/>
  <c r="S168" i="14"/>
  <c r="T168" i="14"/>
  <c r="R180" i="14"/>
  <c r="V50" i="14"/>
  <c r="S50" i="14"/>
  <c r="W50" i="14"/>
  <c r="T50" i="14"/>
  <c r="U50" i="14"/>
  <c r="U162" i="14"/>
  <c r="V162" i="14"/>
  <c r="T162" i="14"/>
  <c r="S162" i="14"/>
  <c r="W162" i="14"/>
  <c r="AB175" i="14"/>
  <c r="AB176" i="14" s="1"/>
  <c r="Z175" i="14"/>
  <c r="Z176" i="14" s="1"/>
  <c r="AA175" i="14"/>
  <c r="AA176" i="14" s="1"/>
  <c r="X175" i="14"/>
  <c r="X176" i="14" s="1"/>
  <c r="S48" i="14"/>
  <c r="W48" i="14"/>
  <c r="V48" i="14"/>
  <c r="T48" i="14"/>
  <c r="U48" i="14"/>
  <c r="S69" i="14"/>
  <c r="U45" i="14"/>
  <c r="W45" i="14"/>
  <c r="V45" i="14"/>
  <c r="S45" i="14"/>
  <c r="T45" i="14"/>
  <c r="T69" i="14"/>
  <c r="W69" i="14"/>
  <c r="V69" i="14"/>
  <c r="W78" i="14"/>
  <c r="Y223" i="14"/>
  <c r="Y265" i="14"/>
  <c r="AC255" i="14"/>
  <c r="AC61" i="14"/>
  <c r="U154" i="14"/>
  <c r="S154" i="14"/>
  <c r="T154" i="14"/>
  <c r="W154" i="14"/>
  <c r="V154" i="14"/>
  <c r="Y160" i="14"/>
  <c r="Y174" i="14" s="1"/>
  <c r="Y175" i="14" s="1"/>
  <c r="Y176" i="14" s="1"/>
  <c r="AC138" i="14"/>
  <c r="AD153" i="14" s="1"/>
  <c r="U78" i="14"/>
  <c r="T78" i="14"/>
  <c r="S78" i="14"/>
  <c r="AA178" i="14"/>
  <c r="Z178" i="14"/>
  <c r="AB178" i="14"/>
  <c r="X178" i="14"/>
  <c r="S93" i="14"/>
  <c r="S90" i="14"/>
  <c r="AB290" i="14"/>
  <c r="X290" i="14"/>
  <c r="Z292" i="14"/>
  <c r="Z296" i="14" s="1"/>
  <c r="X292" i="14"/>
  <c r="X296" i="14" s="1"/>
  <c r="Y292" i="14"/>
  <c r="AA292" i="14"/>
  <c r="AA296" i="14" s="1"/>
  <c r="AA290" i="14"/>
  <c r="Y290" i="14"/>
  <c r="AB292" i="14"/>
  <c r="AB296" i="14" s="1"/>
  <c r="Z290" i="14"/>
  <c r="O27" i="14"/>
  <c r="R27" i="14" s="1"/>
  <c r="O37" i="14"/>
  <c r="R37" i="14" s="1"/>
  <c r="O39" i="14"/>
  <c r="R39" i="14" s="1"/>
  <c r="O41" i="14"/>
  <c r="R41" i="14" s="1"/>
  <c r="O43" i="14"/>
  <c r="R43" i="14" s="1"/>
  <c r="O26" i="14"/>
  <c r="R26" i="14" s="1"/>
  <c r="O25" i="14"/>
  <c r="R25" i="14" s="1"/>
  <c r="O28" i="14"/>
  <c r="R28" i="14" s="1"/>
  <c r="O38" i="14"/>
  <c r="R38" i="14" s="1"/>
  <c r="O40" i="14"/>
  <c r="R40" i="14" s="1"/>
  <c r="O42" i="14"/>
  <c r="R42" i="14" s="1"/>
  <c r="O24" i="14"/>
  <c r="R24" i="14" s="1"/>
  <c r="Z89" i="14"/>
  <c r="S91" i="14" l="1"/>
  <c r="S92" i="14" s="1"/>
  <c r="T91" i="14"/>
  <c r="T92" i="14" s="1"/>
  <c r="U91" i="14"/>
  <c r="U92" i="14" s="1"/>
  <c r="V91" i="14"/>
  <c r="V92" i="14" s="1"/>
  <c r="W91" i="14"/>
  <c r="W92" i="14" s="1"/>
  <c r="X91" i="14"/>
  <c r="X92" i="14" s="1"/>
  <c r="Y91" i="14"/>
  <c r="Y92" i="14" s="1"/>
  <c r="Z91" i="14"/>
  <c r="Z92" i="14" s="1"/>
  <c r="AA91" i="14"/>
  <c r="AA92" i="14" s="1"/>
  <c r="AB91" i="14"/>
  <c r="AB92" i="14" s="1"/>
  <c r="Y178" i="14"/>
  <c r="R110" i="14"/>
  <c r="R188" i="14"/>
  <c r="R306" i="14"/>
  <c r="P180" i="14"/>
  <c r="C77" i="4"/>
  <c r="R298" i="14"/>
  <c r="R187" i="14"/>
  <c r="P187" i="14" s="1"/>
  <c r="Y296" i="14"/>
  <c r="Z291" i="14"/>
  <c r="Z295" i="14" s="1"/>
  <c r="Z294" i="14"/>
  <c r="X291" i="14"/>
  <c r="X295" i="14" s="1"/>
  <c r="X294" i="14"/>
  <c r="AA291" i="14"/>
  <c r="AA295" i="14" s="1"/>
  <c r="AA294" i="14"/>
  <c r="Y291" i="14"/>
  <c r="Y295" i="14" s="1"/>
  <c r="Y294" i="14"/>
  <c r="AB291" i="14"/>
  <c r="AB295" i="14" s="1"/>
  <c r="AB294" i="14"/>
  <c r="X177" i="14"/>
  <c r="X173" i="14" s="1"/>
  <c r="R182" i="14" s="1"/>
  <c r="AB177" i="14"/>
  <c r="AA177" i="14"/>
  <c r="Z177" i="14"/>
  <c r="Y177" i="14"/>
  <c r="W255" i="14"/>
  <c r="W263" i="14" s="1"/>
  <c r="W294" i="14" s="1"/>
  <c r="V255" i="14"/>
  <c r="V263" i="14" s="1"/>
  <c r="V294" i="14" s="1"/>
  <c r="T255" i="14"/>
  <c r="T264" i="14" s="1"/>
  <c r="T295" i="14" s="1"/>
  <c r="S255" i="14"/>
  <c r="S264" i="14" s="1"/>
  <c r="S295" i="14" s="1"/>
  <c r="U255" i="14"/>
  <c r="U264" i="14" s="1"/>
  <c r="U295" i="14" s="1"/>
  <c r="Y28" i="14"/>
  <c r="Y41" i="14"/>
  <c r="T138" i="14"/>
  <c r="W138" i="14"/>
  <c r="U138" i="14"/>
  <c r="V138" i="14"/>
  <c r="S138" i="14"/>
  <c r="Y38" i="14"/>
  <c r="Y27" i="14"/>
  <c r="T61" i="14"/>
  <c r="T94" i="14" s="1"/>
  <c r="W61" i="14"/>
  <c r="W94" i="14" s="1"/>
  <c r="V61" i="14"/>
  <c r="V94" i="14" s="1"/>
  <c r="S61" i="14"/>
  <c r="S94" i="14" s="1"/>
  <c r="U61" i="14"/>
  <c r="U94" i="14" s="1"/>
  <c r="Y42" i="14"/>
  <c r="Y43" i="14"/>
  <c r="Y40" i="14"/>
  <c r="Y26" i="14"/>
  <c r="Y37" i="14"/>
  <c r="Y25" i="14"/>
  <c r="Y39" i="14"/>
  <c r="Z40" i="14"/>
  <c r="X40" i="14"/>
  <c r="AB40" i="14"/>
  <c r="AA40" i="14"/>
  <c r="Z37" i="14"/>
  <c r="X37" i="14"/>
  <c r="AB37" i="14"/>
  <c r="AA37" i="14"/>
  <c r="AA26" i="14"/>
  <c r="X26" i="14"/>
  <c r="AB26" i="14"/>
  <c r="Z26" i="14"/>
  <c r="AA39" i="14"/>
  <c r="Z39" i="14"/>
  <c r="X39" i="14"/>
  <c r="AB39" i="14"/>
  <c r="AA42" i="14"/>
  <c r="Z42" i="14"/>
  <c r="X42" i="14"/>
  <c r="AB42" i="14"/>
  <c r="AA25" i="14"/>
  <c r="Z25" i="14"/>
  <c r="X25" i="14"/>
  <c r="AB25" i="14"/>
  <c r="AA28" i="14"/>
  <c r="Z28" i="14"/>
  <c r="X28" i="14"/>
  <c r="AB28" i="14"/>
  <c r="X41" i="14"/>
  <c r="AB41" i="14"/>
  <c r="AA41" i="14"/>
  <c r="Z41" i="14"/>
  <c r="X38" i="14"/>
  <c r="AB38" i="14"/>
  <c r="AA38" i="14"/>
  <c r="Z38" i="14"/>
  <c r="Z43" i="14"/>
  <c r="X43" i="14"/>
  <c r="AB43" i="14"/>
  <c r="AA43" i="14"/>
  <c r="X27" i="14"/>
  <c r="AB27" i="14"/>
  <c r="Z27" i="14"/>
  <c r="AA27" i="14"/>
  <c r="Y89" i="14"/>
  <c r="X89" i="14"/>
  <c r="W265" i="14" l="1"/>
  <c r="W296" i="14" s="1"/>
  <c r="U265" i="14"/>
  <c r="U296" i="14" s="1"/>
  <c r="T265" i="14"/>
  <c r="T296" i="14" s="1"/>
  <c r="V265" i="14"/>
  <c r="V296" i="14" s="1"/>
  <c r="S265" i="14"/>
  <c r="S296" i="14" s="1"/>
  <c r="T263" i="14"/>
  <c r="T294" i="14" s="1"/>
  <c r="U263" i="14"/>
  <c r="U294" i="14" s="1"/>
  <c r="V264" i="14"/>
  <c r="V295" i="14" s="1"/>
  <c r="W264" i="14"/>
  <c r="W295" i="14" s="1"/>
  <c r="P188" i="14"/>
  <c r="P306" i="14"/>
  <c r="P298" i="14"/>
  <c r="R305" i="14"/>
  <c r="S263" i="14"/>
  <c r="P182" i="14"/>
  <c r="S160" i="14"/>
  <c r="S174" i="14" s="1"/>
  <c r="S175" i="14" s="1"/>
  <c r="T160" i="14"/>
  <c r="T174" i="14" s="1"/>
  <c r="T175" i="14" s="1"/>
  <c r="W160" i="14"/>
  <c r="W174" i="14" s="1"/>
  <c r="W175" i="14" s="1"/>
  <c r="R55" i="14"/>
  <c r="S102" i="14" s="1"/>
  <c r="Y24" i="14"/>
  <c r="Y59" i="14" s="1"/>
  <c r="Y99" i="14" s="1"/>
  <c r="U160" i="14"/>
  <c r="U174" i="14" s="1"/>
  <c r="U175" i="14" s="1"/>
  <c r="V160" i="14"/>
  <c r="V174" i="14" s="1"/>
  <c r="V175" i="14" s="1"/>
  <c r="X293" i="14"/>
  <c r="R300" i="14" s="1"/>
  <c r="Y293" i="14"/>
  <c r="R301" i="14" s="1"/>
  <c r="AB293" i="14"/>
  <c r="R304" i="14" s="1"/>
  <c r="Z293" i="14"/>
  <c r="R302" i="14" s="1"/>
  <c r="Y173" i="14"/>
  <c r="R183" i="14" s="1"/>
  <c r="P183" i="14" s="1"/>
  <c r="T180" i="14"/>
  <c r="AA173" i="14"/>
  <c r="R185" i="14" s="1"/>
  <c r="P185" i="14" s="1"/>
  <c r="AA293" i="14"/>
  <c r="R303" i="14" s="1"/>
  <c r="Z173" i="14"/>
  <c r="R184" i="14" s="1"/>
  <c r="P184" i="14" s="1"/>
  <c r="T298" i="14"/>
  <c r="AC39" i="14"/>
  <c r="AC37" i="14"/>
  <c r="T37" i="14" s="1"/>
  <c r="AC40" i="14"/>
  <c r="AC38" i="14"/>
  <c r="W38" i="14" s="1"/>
  <c r="AC41" i="14"/>
  <c r="V41" i="14" s="1"/>
  <c r="AC28" i="14"/>
  <c r="T28" i="14" s="1"/>
  <c r="AC27" i="14"/>
  <c r="S27" i="14" s="1"/>
  <c r="AC43" i="14"/>
  <c r="S43" i="14" s="1"/>
  <c r="AC42" i="14"/>
  <c r="AC25" i="14"/>
  <c r="AC26" i="14"/>
  <c r="AA24" i="14"/>
  <c r="AA56" i="14" s="1"/>
  <c r="X24" i="14"/>
  <c r="X59" i="14" s="1"/>
  <c r="X99" i="14" s="1"/>
  <c r="Z24" i="14"/>
  <c r="Z56" i="14" s="1"/>
  <c r="AB24" i="14"/>
  <c r="AB56" i="14" s="1"/>
  <c r="W293" i="14" l="1"/>
  <c r="V293" i="14"/>
  <c r="U293" i="14"/>
  <c r="AB59" i="14"/>
  <c r="AB99" i="14" s="1"/>
  <c r="AA59" i="14"/>
  <c r="AA99" i="14" s="1"/>
  <c r="Z59" i="14"/>
  <c r="Z99" i="14" s="1"/>
  <c r="P301" i="14"/>
  <c r="P303" i="14"/>
  <c r="P302" i="14"/>
  <c r="P305" i="14"/>
  <c r="S294" i="14"/>
  <c r="S293" i="14" s="1"/>
  <c r="T41" i="14"/>
  <c r="V176" i="14"/>
  <c r="V177" i="14" s="1"/>
  <c r="W176" i="14"/>
  <c r="W177" i="14" s="1"/>
  <c r="S176" i="14"/>
  <c r="S177" i="14" s="1"/>
  <c r="U176" i="14"/>
  <c r="U177" i="14" s="1"/>
  <c r="T176" i="14"/>
  <c r="T177" i="14" s="1"/>
  <c r="P300" i="14"/>
  <c r="R299" i="14"/>
  <c r="P304" i="14"/>
  <c r="S28" i="14"/>
  <c r="V37" i="14"/>
  <c r="V178" i="14"/>
  <c r="S178" i="14"/>
  <c r="W178" i="14"/>
  <c r="U178" i="14"/>
  <c r="T178" i="14"/>
  <c r="S38" i="14"/>
  <c r="Y56" i="14"/>
  <c r="Y57" i="14" s="1"/>
  <c r="Y58" i="14" s="1"/>
  <c r="U37" i="14"/>
  <c r="X56" i="14"/>
  <c r="X57" i="14" s="1"/>
  <c r="X58" i="14" s="1"/>
  <c r="V28" i="14"/>
  <c r="U28" i="14"/>
  <c r="W37" i="14"/>
  <c r="W28" i="14"/>
  <c r="S37" i="14"/>
  <c r="T43" i="14"/>
  <c r="AC293" i="14"/>
  <c r="AB173" i="14"/>
  <c r="T27" i="14"/>
  <c r="W43" i="14"/>
  <c r="U43" i="14"/>
  <c r="S41" i="14"/>
  <c r="V43" i="14"/>
  <c r="U41" i="14"/>
  <c r="W41" i="14"/>
  <c r="U27" i="14"/>
  <c r="T38" i="14"/>
  <c r="U38" i="14"/>
  <c r="V27" i="14"/>
  <c r="W27" i="14"/>
  <c r="V38" i="14"/>
  <c r="AC24" i="14"/>
  <c r="T24" i="14" s="1"/>
  <c r="R95" i="14"/>
  <c r="R102" i="14" s="1"/>
  <c r="V42" i="14"/>
  <c r="W42" i="14"/>
  <c r="S42" i="14"/>
  <c r="T42" i="14"/>
  <c r="U42" i="14"/>
  <c r="T39" i="14"/>
  <c r="U39" i="14"/>
  <c r="V39" i="14"/>
  <c r="W39" i="14"/>
  <c r="S39" i="14"/>
  <c r="AA96" i="14"/>
  <c r="AB96" i="14"/>
  <c r="T40" i="14"/>
  <c r="U40" i="14"/>
  <c r="V40" i="14"/>
  <c r="W40" i="14"/>
  <c r="S40" i="14"/>
  <c r="V25" i="14"/>
  <c r="U25" i="14"/>
  <c r="S25" i="14"/>
  <c r="W25" i="14"/>
  <c r="T25" i="14"/>
  <c r="Z96" i="14"/>
  <c r="S26" i="14"/>
  <c r="T26" i="14"/>
  <c r="U26" i="14"/>
  <c r="V26" i="14"/>
  <c r="W26" i="14"/>
  <c r="R109" i="14" l="1"/>
  <c r="P109" i="14" s="1"/>
  <c r="T59" i="14"/>
  <c r="T99" i="14" s="1"/>
  <c r="T56" i="14"/>
  <c r="T96" i="14" s="1"/>
  <c r="P299" i="14"/>
  <c r="S299" i="14"/>
  <c r="R307" i="14"/>
  <c r="U298" i="14" s="1"/>
  <c r="P102" i="14"/>
  <c r="W24" i="14"/>
  <c r="W56" i="14" s="1"/>
  <c r="V24" i="14"/>
  <c r="V56" i="14" s="1"/>
  <c r="V57" i="14" s="1"/>
  <c r="V58" i="14" s="1"/>
  <c r="S24" i="14"/>
  <c r="U24" i="14"/>
  <c r="U56" i="14" s="1"/>
  <c r="R186" i="14"/>
  <c r="AC173" i="14"/>
  <c r="AB57" i="14"/>
  <c r="Z57" i="14"/>
  <c r="AA57" i="14"/>
  <c r="Y97" i="14"/>
  <c r="X96" i="14"/>
  <c r="X97" i="14"/>
  <c r="Y96" i="14"/>
  <c r="T57" i="14" l="1"/>
  <c r="T58" i="14" s="1"/>
  <c r="S56" i="14"/>
  <c r="S57" i="14" s="1"/>
  <c r="S58" i="14" s="1"/>
  <c r="S59" i="14"/>
  <c r="S99" i="14" s="1"/>
  <c r="W59" i="14"/>
  <c r="W99" i="14" s="1"/>
  <c r="U59" i="14"/>
  <c r="U99" i="14" s="1"/>
  <c r="V59" i="14"/>
  <c r="V99" i="14" s="1"/>
  <c r="S307" i="14"/>
  <c r="S305" i="14"/>
  <c r="R181" i="14"/>
  <c r="W173" i="14"/>
  <c r="V173" i="14"/>
  <c r="P186" i="14"/>
  <c r="P181" i="14" s="1"/>
  <c r="W57" i="14"/>
  <c r="W58" i="14" s="1"/>
  <c r="V96" i="14"/>
  <c r="U57" i="14"/>
  <c r="U58" i="14" s="1"/>
  <c r="U96" i="14"/>
  <c r="AB97" i="14"/>
  <c r="AB58" i="14"/>
  <c r="AB98" i="14" s="1"/>
  <c r="AA97" i="14"/>
  <c r="AA58" i="14"/>
  <c r="AA98" i="14" s="1"/>
  <c r="Z97" i="14"/>
  <c r="Z58" i="14"/>
  <c r="Z98" i="14" s="1"/>
  <c r="W96" i="14"/>
  <c r="X98" i="14"/>
  <c r="X95" i="14" s="1"/>
  <c r="Y98" i="14"/>
  <c r="Y95" i="14" s="1"/>
  <c r="R105" i="14" s="1"/>
  <c r="P31" i="16"/>
  <c r="P23" i="16"/>
  <c r="L80" i="5"/>
  <c r="S96" i="14" l="1"/>
  <c r="W312" i="14"/>
  <c r="V311" i="14"/>
  <c r="V310" i="14"/>
  <c r="U312" i="14"/>
  <c r="S311" i="14"/>
  <c r="R311" i="14" s="1"/>
  <c r="P311" i="14" s="1"/>
  <c r="T311" i="14"/>
  <c r="S310" i="14"/>
  <c r="R310" i="14" s="1"/>
  <c r="P310" i="14" s="1"/>
  <c r="W310" i="14"/>
  <c r="U311" i="14"/>
  <c r="S312" i="14"/>
  <c r="R312" i="14" s="1"/>
  <c r="P312" i="14" s="1"/>
  <c r="W311" i="14"/>
  <c r="U310" i="14"/>
  <c r="V312" i="14"/>
  <c r="T310" i="14"/>
  <c r="R314" i="14"/>
  <c r="R315" i="14"/>
  <c r="S173" i="14"/>
  <c r="R189" i="14"/>
  <c r="S187" i="14" s="1"/>
  <c r="S181" i="14"/>
  <c r="T173" i="14"/>
  <c r="U173" i="14"/>
  <c r="AB95" i="14"/>
  <c r="R108" i="14" s="1"/>
  <c r="P108" i="14" s="1"/>
  <c r="AA95" i="14"/>
  <c r="R107" i="14" s="1"/>
  <c r="R104" i="14"/>
  <c r="P26" i="16"/>
  <c r="P32" i="16"/>
  <c r="L74" i="5"/>
  <c r="L73" i="5"/>
  <c r="L84" i="5"/>
  <c r="L82" i="5"/>
  <c r="X402" i="14" l="1"/>
  <c r="X403" i="14" s="1"/>
  <c r="F32" i="4"/>
  <c r="P107" i="14"/>
  <c r="U180" i="14"/>
  <c r="S189" i="14"/>
  <c r="P105" i="14"/>
  <c r="P309" i="14"/>
  <c r="S314" i="14"/>
  <c r="S315" i="14"/>
  <c r="P314" i="14"/>
  <c r="P315" i="14"/>
  <c r="P104" i="14"/>
  <c r="X404" i="14" l="1"/>
  <c r="X405" i="14" s="1"/>
  <c r="R197" i="14"/>
  <c r="P197" i="14" s="1"/>
  <c r="R196" i="14"/>
  <c r="P196" i="14" s="1"/>
  <c r="W192" i="14"/>
  <c r="V192" i="14"/>
  <c r="T192" i="14"/>
  <c r="W193" i="14"/>
  <c r="W195" i="14"/>
  <c r="V195" i="14"/>
  <c r="T195" i="14"/>
  <c r="S192" i="14"/>
  <c r="R192" i="14" s="1"/>
  <c r="S195" i="14"/>
  <c r="R195" i="14" s="1"/>
  <c r="P195" i="14" s="1"/>
  <c r="U192" i="14"/>
  <c r="U195" i="14"/>
  <c r="V193" i="14"/>
  <c r="T193" i="14"/>
  <c r="W194" i="14"/>
  <c r="S193" i="14"/>
  <c r="R193" i="14" s="1"/>
  <c r="P193" i="14" s="1"/>
  <c r="U193" i="14"/>
  <c r="V194" i="14"/>
  <c r="T194" i="14"/>
  <c r="R198" i="14"/>
  <c r="U194" i="14"/>
  <c r="S194" i="14"/>
  <c r="R194" i="14" s="1"/>
  <c r="M107" i="5"/>
  <c r="M111" i="5" s="1"/>
  <c r="M115" i="5" s="1"/>
  <c r="M119" i="5" s="1"/>
  <c r="M123" i="5" s="1"/>
  <c r="M127" i="5" s="1"/>
  <c r="M131" i="5" s="1"/>
  <c r="M135" i="5" s="1"/>
  <c r="M139" i="5" s="1"/>
  <c r="M143" i="5" s="1"/>
  <c r="M147" i="5" s="1"/>
  <c r="M151" i="5" s="1"/>
  <c r="M155" i="5" s="1"/>
  <c r="M159" i="5" s="1"/>
  <c r="M108" i="5"/>
  <c r="M112" i="5" s="1"/>
  <c r="M116" i="5" s="1"/>
  <c r="M120" i="5" s="1"/>
  <c r="M124" i="5" s="1"/>
  <c r="M128" i="5" s="1"/>
  <c r="M132" i="5" s="1"/>
  <c r="M136" i="5" s="1"/>
  <c r="M140" i="5" s="1"/>
  <c r="M144" i="5" s="1"/>
  <c r="M148" i="5" s="1"/>
  <c r="M152" i="5" s="1"/>
  <c r="M156" i="5" s="1"/>
  <c r="M160" i="5" s="1"/>
  <c r="M109" i="5"/>
  <c r="M113" i="5" s="1"/>
  <c r="M117" i="5" s="1"/>
  <c r="M121" i="5" s="1"/>
  <c r="M125" i="5" s="1"/>
  <c r="M129" i="5" s="1"/>
  <c r="M133" i="5" s="1"/>
  <c r="M137" i="5" s="1"/>
  <c r="M141" i="5" s="1"/>
  <c r="M145" i="5" s="1"/>
  <c r="M149" i="5" s="1"/>
  <c r="M153" i="5" s="1"/>
  <c r="M157" i="5" s="1"/>
  <c r="M161" i="5" s="1"/>
  <c r="M110" i="5"/>
  <c r="M114" i="5" s="1"/>
  <c r="M118" i="5" s="1"/>
  <c r="M122" i="5" s="1"/>
  <c r="M126" i="5" s="1"/>
  <c r="M130" i="5" s="1"/>
  <c r="M134" i="5" s="1"/>
  <c r="M138" i="5" s="1"/>
  <c r="M142" i="5" s="1"/>
  <c r="M146" i="5" s="1"/>
  <c r="M150" i="5" s="1"/>
  <c r="M154" i="5" s="1"/>
  <c r="M158" i="5" s="1"/>
  <c r="M162" i="5" s="1"/>
  <c r="M166" i="5" l="1"/>
  <c r="M170" i="5" s="1"/>
  <c r="M174" i="5" s="1"/>
  <c r="M178" i="5" s="1"/>
  <c r="M182" i="5" s="1"/>
  <c r="M165" i="5"/>
  <c r="M169" i="5" s="1"/>
  <c r="M173" i="5" s="1"/>
  <c r="M177" i="5" s="1"/>
  <c r="M181" i="5" s="1"/>
  <c r="M164" i="5"/>
  <c r="M168" i="5" s="1"/>
  <c r="M172" i="5" s="1"/>
  <c r="M176" i="5" s="1"/>
  <c r="M180" i="5" s="1"/>
  <c r="M163" i="5"/>
  <c r="M167" i="5" s="1"/>
  <c r="M171" i="5" s="1"/>
  <c r="M175" i="5" s="1"/>
  <c r="M179" i="5" s="1"/>
  <c r="S196" i="14"/>
  <c r="P198" i="14"/>
  <c r="P192" i="14"/>
  <c r="S197" i="14"/>
  <c r="S198" i="14"/>
  <c r="P194" i="14"/>
  <c r="R191" i="14"/>
  <c r="K82" i="5"/>
  <c r="I84" i="5"/>
  <c r="I82" i="5"/>
  <c r="I80" i="5"/>
  <c r="I74" i="5"/>
  <c r="I73" i="5"/>
  <c r="J82" i="5"/>
  <c r="P191" i="14" l="1"/>
  <c r="S191" i="14"/>
  <c r="R199" i="14"/>
  <c r="K80" i="5"/>
  <c r="K73" i="5"/>
  <c r="K84" i="5"/>
  <c r="K74" i="5"/>
  <c r="J80" i="5"/>
  <c r="J74" i="5"/>
  <c r="J73" i="5"/>
  <c r="J84" i="5"/>
  <c r="HN77" i="5"/>
  <c r="HM77" i="5" s="1"/>
  <c r="GD88" i="5"/>
  <c r="GD80" i="5"/>
  <c r="GD67" i="5"/>
  <c r="GD26" i="5"/>
  <c r="Z88" i="5"/>
  <c r="Z86" i="5"/>
  <c r="Z85" i="5"/>
  <c r="Z84" i="5"/>
  <c r="Z82" i="5"/>
  <c r="Z81" i="5"/>
  <c r="Z80" i="5"/>
  <c r="Z70" i="5"/>
  <c r="Z67" i="5"/>
  <c r="Z26" i="5"/>
  <c r="C3" i="5"/>
  <c r="D3" i="5" s="1"/>
  <c r="E3" i="5" s="1"/>
  <c r="A6" i="5"/>
  <c r="S199" i="14" l="1"/>
  <c r="P199" i="14"/>
  <c r="P200" i="14" s="1"/>
  <c r="G340" i="14"/>
  <c r="G339" i="14"/>
  <c r="G338" i="14"/>
  <c r="X6" i="5"/>
  <c r="GB6" i="5"/>
  <c r="DP6" i="5"/>
  <c r="EV6" i="5"/>
  <c r="CJ6" i="5"/>
  <c r="BD6" i="5"/>
  <c r="E340" i="14"/>
  <c r="E339" i="14"/>
  <c r="E338" i="14"/>
  <c r="F17" i="21" s="1"/>
  <c r="F3" i="5"/>
  <c r="G3" i="5" s="1"/>
  <c r="W6" i="5"/>
  <c r="T6" i="5"/>
  <c r="V6" i="5"/>
  <c r="U6" i="5"/>
  <c r="A7" i="5"/>
  <c r="H3" i="5" l="1"/>
  <c r="I3" i="5" s="1"/>
  <c r="G46" i="17"/>
  <c r="J46" i="17"/>
  <c r="X7" i="5"/>
  <c r="GB7" i="5"/>
  <c r="DP7" i="5"/>
  <c r="BD7" i="5"/>
  <c r="EV7" i="5"/>
  <c r="CJ7" i="5"/>
  <c r="E29" i="16"/>
  <c r="E28" i="16"/>
  <c r="E27" i="16"/>
  <c r="W7" i="5"/>
  <c r="T7" i="5"/>
  <c r="V7" i="5"/>
  <c r="A8" i="5"/>
  <c r="U7" i="5"/>
  <c r="G345" i="14" l="1"/>
  <c r="E345" i="14"/>
  <c r="E34" i="16" s="1"/>
  <c r="G344" i="14"/>
  <c r="E344" i="14"/>
  <c r="J3" i="5"/>
  <c r="K3" i="5" s="1"/>
  <c r="G346" i="14"/>
  <c r="E346" i="14"/>
  <c r="E35" i="16" s="1"/>
  <c r="P29" i="16"/>
  <c r="P28" i="16"/>
  <c r="X8" i="5"/>
  <c r="DP8" i="5"/>
  <c r="EV8" i="5"/>
  <c r="CJ8" i="5"/>
  <c r="BD8" i="5"/>
  <c r="GB8" i="5"/>
  <c r="P27" i="16"/>
  <c r="W8" i="5"/>
  <c r="T8" i="5"/>
  <c r="V8" i="5"/>
  <c r="A9" i="5"/>
  <c r="U8" i="5"/>
  <c r="E33" i="16" l="1"/>
  <c r="H17" i="21"/>
  <c r="A78" i="14"/>
  <c r="A79" i="14" s="1"/>
  <c r="L3" i="5"/>
  <c r="M3" i="5" s="1"/>
  <c r="P35" i="16"/>
  <c r="P34" i="16"/>
  <c r="X9" i="5"/>
  <c r="EV9" i="5"/>
  <c r="CJ9" i="5"/>
  <c r="BD9" i="5"/>
  <c r="GB9" i="5"/>
  <c r="DP9" i="5"/>
  <c r="P33" i="16"/>
  <c r="W9" i="5"/>
  <c r="T9" i="5"/>
  <c r="V9" i="5"/>
  <c r="A10" i="5"/>
  <c r="U9" i="5"/>
  <c r="A80" i="14" l="1"/>
  <c r="N3" i="5"/>
  <c r="P20" i="16"/>
  <c r="P19" i="16"/>
  <c r="X10" i="5"/>
  <c r="EV10" i="5"/>
  <c r="BD10" i="5"/>
  <c r="GB10" i="5"/>
  <c r="DP10" i="5"/>
  <c r="CJ10" i="5"/>
  <c r="P18" i="16"/>
  <c r="W10" i="5"/>
  <c r="T10" i="5"/>
  <c r="V10" i="5"/>
  <c r="A11" i="5"/>
  <c r="U10" i="5"/>
  <c r="A81" i="14" l="1"/>
  <c r="G331" i="14"/>
  <c r="G330" i="14"/>
  <c r="G329" i="14"/>
  <c r="E330" i="14"/>
  <c r="O3" i="5"/>
  <c r="E329" i="14"/>
  <c r="E331" i="14"/>
  <c r="X11" i="5"/>
  <c r="EV11" i="5"/>
  <c r="CJ11" i="5"/>
  <c r="BD11" i="5"/>
  <c r="DP11" i="5"/>
  <c r="GB11" i="5"/>
  <c r="W11" i="5"/>
  <c r="T11" i="5"/>
  <c r="V11" i="5"/>
  <c r="A12" i="5"/>
  <c r="U11" i="5"/>
  <c r="I17" i="21" l="1"/>
  <c r="F17" i="20"/>
  <c r="A82" i="14"/>
  <c r="P3" i="5"/>
  <c r="Q3" i="5" s="1"/>
  <c r="H47" i="4" s="1"/>
  <c r="E18" i="16"/>
  <c r="E20" i="16"/>
  <c r="E19" i="16"/>
  <c r="X12" i="5"/>
  <c r="EV12" i="5"/>
  <c r="BD12" i="5"/>
  <c r="GB12" i="5"/>
  <c r="DP12" i="5"/>
  <c r="CJ12" i="5"/>
  <c r="W12" i="5"/>
  <c r="T12" i="5"/>
  <c r="V12" i="5"/>
  <c r="A13" i="5"/>
  <c r="U12" i="5"/>
  <c r="G65" i="4"/>
  <c r="H49" i="4" l="1"/>
  <c r="H48" i="4"/>
  <c r="A83" i="14"/>
  <c r="R3" i="5"/>
  <c r="S3" i="5" s="1"/>
  <c r="T3" i="5" s="1"/>
  <c r="U3" i="5" s="1"/>
  <c r="V3" i="5" s="1"/>
  <c r="W3" i="5" s="1"/>
  <c r="X3" i="5" s="1"/>
  <c r="P25" i="16"/>
  <c r="P22" i="16"/>
  <c r="X13" i="5"/>
  <c r="DP13" i="5"/>
  <c r="BD13" i="5"/>
  <c r="GB13" i="5"/>
  <c r="CJ13" i="5"/>
  <c r="EV13" i="5"/>
  <c r="W13" i="5"/>
  <c r="T13" i="5"/>
  <c r="V13" i="5"/>
  <c r="U13" i="5"/>
  <c r="A14" i="5"/>
  <c r="A84" i="14" l="1"/>
  <c r="Y3" i="5"/>
  <c r="X14" i="5"/>
  <c r="EV14" i="5"/>
  <c r="CJ14" i="5"/>
  <c r="DP14" i="5"/>
  <c r="BD14" i="5"/>
  <c r="GB14" i="5"/>
  <c r="W14" i="5"/>
  <c r="T14" i="5"/>
  <c r="V14" i="5"/>
  <c r="A15" i="5"/>
  <c r="U14" i="5"/>
  <c r="E337" i="14" l="1"/>
  <c r="E22" i="21" s="1"/>
  <c r="E336" i="14"/>
  <c r="E21" i="21" s="1"/>
  <c r="A85" i="14"/>
  <c r="Z3" i="5"/>
  <c r="AA3" i="5" s="1"/>
  <c r="AB3" i="5" s="1"/>
  <c r="AC3" i="5" s="1"/>
  <c r="AD3" i="5" s="1"/>
  <c r="AE3" i="5" s="1"/>
  <c r="AF3" i="5" s="1"/>
  <c r="AG3" i="5" s="1"/>
  <c r="AH3" i="5" s="1"/>
  <c r="AI3" i="5" s="1"/>
  <c r="AJ3" i="5" s="1"/>
  <c r="AK3" i="5" s="1"/>
  <c r="X15" i="5"/>
  <c r="CJ15" i="5"/>
  <c r="EV15" i="5"/>
  <c r="GB15" i="5"/>
  <c r="DP15" i="5"/>
  <c r="BD15" i="5"/>
  <c r="W15" i="5"/>
  <c r="T15" i="5"/>
  <c r="V15" i="5"/>
  <c r="A16" i="5"/>
  <c r="U15" i="5"/>
  <c r="A86" i="14" l="1"/>
  <c r="A87" i="14" s="1"/>
  <c r="AL3" i="5"/>
  <c r="AM3" i="5" s="1"/>
  <c r="AN3" i="5" s="1"/>
  <c r="AO3" i="5" s="1"/>
  <c r="AP3" i="5" s="1"/>
  <c r="AQ3" i="5" s="1"/>
  <c r="AR3" i="5" s="1"/>
  <c r="AS3" i="5" s="1"/>
  <c r="AT3" i="5" s="1"/>
  <c r="AU3" i="5" s="1"/>
  <c r="AV3" i="5" s="1"/>
  <c r="AW3" i="5" s="1"/>
  <c r="AX3" i="5" s="1"/>
  <c r="AY3" i="5" s="1"/>
  <c r="X16" i="5"/>
  <c r="EV16" i="5"/>
  <c r="DP16" i="5"/>
  <c r="GB16" i="5"/>
  <c r="CJ16" i="5"/>
  <c r="BD16" i="5"/>
  <c r="W16" i="5"/>
  <c r="T16" i="5"/>
  <c r="V16" i="5"/>
  <c r="A17" i="5"/>
  <c r="U16" i="5"/>
  <c r="AZ3" i="5" l="1"/>
  <c r="BA3" i="5" s="1"/>
  <c r="BB3" i="5" s="1"/>
  <c r="BC3" i="5" s="1"/>
  <c r="BD3" i="5" s="1"/>
  <c r="BE3" i="5" s="1"/>
  <c r="X17" i="5"/>
  <c r="GB17" i="5"/>
  <c r="EV17" i="5"/>
  <c r="DP17" i="5"/>
  <c r="BD17" i="5"/>
  <c r="CJ17" i="5"/>
  <c r="W17" i="5"/>
  <c r="T17" i="5"/>
  <c r="V17" i="5"/>
  <c r="U17" i="5"/>
  <c r="A18" i="5"/>
  <c r="O99" i="5"/>
  <c r="O100" i="5" s="1"/>
  <c r="O101" i="5" s="1"/>
  <c r="O102" i="5" s="1"/>
  <c r="N99" i="5"/>
  <c r="N100" i="5" s="1"/>
  <c r="N101" i="5" s="1"/>
  <c r="N102" i="5" s="1"/>
  <c r="O104" i="5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N104" i="5"/>
  <c r="N105" i="5" s="1"/>
  <c r="N106" i="5" s="1"/>
  <c r="N107" i="5" s="1"/>
  <c r="N108" i="5" s="1"/>
  <c r="N109" i="5" s="1"/>
  <c r="N110" i="5" s="1"/>
  <c r="N111" i="5" s="1"/>
  <c r="N112" i="5" s="1"/>
  <c r="F66" i="4"/>
  <c r="G66" i="4" s="1"/>
  <c r="F44" i="4"/>
  <c r="E44" i="4"/>
  <c r="J100" i="5"/>
  <c r="I100" i="5" s="1"/>
  <c r="A100" i="5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E333" i="14" l="1"/>
  <c r="E18" i="21" s="1"/>
  <c r="E332" i="14"/>
  <c r="E17" i="21" s="1"/>
  <c r="BF3" i="5"/>
  <c r="BG3" i="5" s="1"/>
  <c r="BH3" i="5" s="1"/>
  <c r="BI3" i="5" s="1"/>
  <c r="BJ3" i="5" s="1"/>
  <c r="BK3" i="5" s="1"/>
  <c r="BL3" i="5" s="1"/>
  <c r="BM3" i="5" s="1"/>
  <c r="BN3" i="5" s="1"/>
  <c r="BO3" i="5" s="1"/>
  <c r="BP3" i="5" s="1"/>
  <c r="BQ3" i="5" s="1"/>
  <c r="BR3" i="5" s="1"/>
  <c r="BS3" i="5" s="1"/>
  <c r="BT3" i="5" s="1"/>
  <c r="BU3" i="5" s="1"/>
  <c r="BV3" i="5" s="1"/>
  <c r="BW3" i="5" s="1"/>
  <c r="BX3" i="5" s="1"/>
  <c r="BY3" i="5" s="1"/>
  <c r="BZ3" i="5" s="1"/>
  <c r="CA3" i="5" s="1"/>
  <c r="CB3" i="5" s="1"/>
  <c r="CC3" i="5" s="1"/>
  <c r="CD3" i="5" s="1"/>
  <c r="CE3" i="5" s="1"/>
  <c r="CF3" i="5" s="1"/>
  <c r="CG3" i="5" s="1"/>
  <c r="CH3" i="5" s="1"/>
  <c r="CI3" i="5" s="1"/>
  <c r="CJ3" i="5" s="1"/>
  <c r="CK3" i="5" s="1"/>
  <c r="CL3" i="5" s="1"/>
  <c r="CM3" i="5" s="1"/>
  <c r="CN3" i="5" s="1"/>
  <c r="CO3" i="5" s="1"/>
  <c r="CP3" i="5" s="1"/>
  <c r="CQ3" i="5" s="1"/>
  <c r="CR3" i="5" s="1"/>
  <c r="CS3" i="5" s="1"/>
  <c r="CT3" i="5" s="1"/>
  <c r="CU3" i="5" s="1"/>
  <c r="CV3" i="5" s="1"/>
  <c r="CW3" i="5" s="1"/>
  <c r="X18" i="5"/>
  <c r="CJ18" i="5"/>
  <c r="GB18" i="5"/>
  <c r="EV18" i="5"/>
  <c r="DP18" i="5"/>
  <c r="BD18" i="5"/>
  <c r="A118" i="5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1" i="5" s="1"/>
  <c r="W18" i="5"/>
  <c r="T18" i="5"/>
  <c r="V18" i="5"/>
  <c r="U18" i="5"/>
  <c r="A19" i="5"/>
  <c r="J101" i="5"/>
  <c r="I101" i="5" s="1"/>
  <c r="CX3" i="5" l="1"/>
  <c r="CY3" i="5" s="1"/>
  <c r="CZ3" i="5" s="1"/>
  <c r="DA3" i="5" s="1"/>
  <c r="DB3" i="5" s="1"/>
  <c r="DC3" i="5" s="1"/>
  <c r="DD3" i="5" s="1"/>
  <c r="DE3" i="5" s="1"/>
  <c r="DF3" i="5" s="1"/>
  <c r="DG3" i="5" s="1"/>
  <c r="DH3" i="5" s="1"/>
  <c r="DI3" i="5" s="1"/>
  <c r="DJ3" i="5" s="1"/>
  <c r="DK3" i="5" s="1"/>
  <c r="DL3" i="5" s="1"/>
  <c r="DM3" i="5" s="1"/>
  <c r="DN3" i="5" s="1"/>
  <c r="DO3" i="5" s="1"/>
  <c r="DP3" i="5" s="1"/>
  <c r="DQ3" i="5" s="1"/>
  <c r="X19" i="5"/>
  <c r="EV19" i="5"/>
  <c r="DP19" i="5"/>
  <c r="BD19" i="5"/>
  <c r="GB19" i="5"/>
  <c r="CJ19" i="5"/>
  <c r="W19" i="5"/>
  <c r="T19" i="5"/>
  <c r="V19" i="5"/>
  <c r="U19" i="5"/>
  <c r="A20" i="5"/>
  <c r="J102" i="5"/>
  <c r="I102" i="5" s="1"/>
  <c r="A142" i="5"/>
  <c r="DR3" i="5" l="1"/>
  <c r="DS3" i="5" s="1"/>
  <c r="DT3" i="5" s="1"/>
  <c r="DU3" i="5" s="1"/>
  <c r="DV3" i="5" s="1"/>
  <c r="DW3" i="5" s="1"/>
  <c r="DX3" i="5" s="1"/>
  <c r="DY3" i="5" s="1"/>
  <c r="DZ3" i="5" s="1"/>
  <c r="EA3" i="5" s="1"/>
  <c r="EB3" i="5" s="1"/>
  <c r="EC3" i="5" s="1"/>
  <c r="ED3" i="5" s="1"/>
  <c r="EE3" i="5" s="1"/>
  <c r="EF3" i="5" s="1"/>
  <c r="EG3" i="5" s="1"/>
  <c r="EH3" i="5" s="1"/>
  <c r="EI3" i="5" s="1"/>
  <c r="EJ3" i="5" s="1"/>
  <c r="EK3" i="5" s="1"/>
  <c r="EL3" i="5" s="1"/>
  <c r="EM3" i="5" s="1"/>
  <c r="EN3" i="5" s="1"/>
  <c r="EO3" i="5" s="1"/>
  <c r="EP3" i="5" s="1"/>
  <c r="EQ3" i="5" s="1"/>
  <c r="ER3" i="5" s="1"/>
  <c r="ES3" i="5" s="1"/>
  <c r="ET3" i="5" s="1"/>
  <c r="EU3" i="5" s="1"/>
  <c r="EV3" i="5" s="1"/>
  <c r="EW3" i="5" s="1"/>
  <c r="E334" i="14"/>
  <c r="E19" i="21" s="1"/>
  <c r="E335" i="14"/>
  <c r="E20" i="21" s="1"/>
  <c r="X20" i="5"/>
  <c r="GB20" i="5"/>
  <c r="BD20" i="5"/>
  <c r="EV20" i="5"/>
  <c r="CJ20" i="5"/>
  <c r="DP20" i="5"/>
  <c r="W20" i="5"/>
  <c r="T20" i="5"/>
  <c r="V20" i="5"/>
  <c r="U20" i="5"/>
  <c r="A21" i="5"/>
  <c r="J103" i="5"/>
  <c r="I103" i="5" s="1"/>
  <c r="A143" i="5"/>
  <c r="EX3" i="5" l="1"/>
  <c r="EY3" i="5" s="1"/>
  <c r="EZ3" i="5" s="1"/>
  <c r="FA3" i="5" s="1"/>
  <c r="FB3" i="5" s="1"/>
  <c r="FC3" i="5" s="1"/>
  <c r="FD3" i="5" s="1"/>
  <c r="FE3" i="5" s="1"/>
  <c r="FF3" i="5" s="1"/>
  <c r="FG3" i="5" s="1"/>
  <c r="FH3" i="5" s="1"/>
  <c r="FI3" i="5" s="1"/>
  <c r="FJ3" i="5" s="1"/>
  <c r="FK3" i="5" s="1"/>
  <c r="FL3" i="5" s="1"/>
  <c r="FM3" i="5" s="1"/>
  <c r="FN3" i="5" s="1"/>
  <c r="FO3" i="5" s="1"/>
  <c r="FP3" i="5" s="1"/>
  <c r="FQ3" i="5" s="1"/>
  <c r="FR3" i="5" s="1"/>
  <c r="FS3" i="5" s="1"/>
  <c r="FT3" i="5" s="1"/>
  <c r="FU3" i="5" s="1"/>
  <c r="FV3" i="5" s="1"/>
  <c r="FW3" i="5" s="1"/>
  <c r="FX3" i="5" s="1"/>
  <c r="FY3" i="5" s="1"/>
  <c r="FZ3" i="5" s="1"/>
  <c r="GA3" i="5" s="1"/>
  <c r="GB3" i="5" s="1"/>
  <c r="GC3" i="5" s="1"/>
  <c r="X21" i="5"/>
  <c r="DP21" i="5"/>
  <c r="CJ21" i="5"/>
  <c r="GB21" i="5"/>
  <c r="EV21" i="5"/>
  <c r="BD21" i="5"/>
  <c r="W21" i="5"/>
  <c r="T21" i="5"/>
  <c r="V21" i="5"/>
  <c r="U21" i="5"/>
  <c r="A22" i="5"/>
  <c r="J104" i="5"/>
  <c r="I104" i="5" s="1"/>
  <c r="A144" i="5"/>
  <c r="E342" i="14" l="1"/>
  <c r="E341" i="14"/>
  <c r="G17" i="21" s="1"/>
  <c r="E343" i="14"/>
  <c r="GD3" i="5"/>
  <c r="GE3" i="5" s="1"/>
  <c r="GF3" i="5" s="1"/>
  <c r="GG3" i="5" s="1"/>
  <c r="GH3" i="5" s="1"/>
  <c r="GI3" i="5" s="1"/>
  <c r="GJ3" i="5" s="1"/>
  <c r="GK3" i="5" s="1"/>
  <c r="GL3" i="5" s="1"/>
  <c r="GM3" i="5" s="1"/>
  <c r="GN3" i="5" s="1"/>
  <c r="GO3" i="5" s="1"/>
  <c r="GP3" i="5" s="1"/>
  <c r="GQ3" i="5" s="1"/>
  <c r="GR3" i="5" s="1"/>
  <c r="GS3" i="5" s="1"/>
  <c r="GT3" i="5" s="1"/>
  <c r="GU3" i="5" s="1"/>
  <c r="GV3" i="5" s="1"/>
  <c r="GW3" i="5" s="1"/>
  <c r="GX3" i="5" s="1"/>
  <c r="GY3" i="5" s="1"/>
  <c r="GZ3" i="5" s="1"/>
  <c r="HA3" i="5" s="1"/>
  <c r="HB3" i="5" s="1"/>
  <c r="HC3" i="5" s="1"/>
  <c r="HD3" i="5" s="1"/>
  <c r="HE3" i="5" s="1"/>
  <c r="HF3" i="5" s="1"/>
  <c r="X22" i="5"/>
  <c r="EV22" i="5"/>
  <c r="GB22" i="5"/>
  <c r="DP22" i="5"/>
  <c r="CJ22" i="5"/>
  <c r="BD22" i="5"/>
  <c r="W22" i="5"/>
  <c r="T22" i="5"/>
  <c r="V22" i="5"/>
  <c r="U22" i="5"/>
  <c r="A23" i="5"/>
  <c r="J105" i="5"/>
  <c r="I105" i="5" s="1"/>
  <c r="A145" i="5"/>
  <c r="X23" i="5" l="1"/>
  <c r="GB23" i="5"/>
  <c r="EV23" i="5"/>
  <c r="BD23" i="5"/>
  <c r="DP23" i="5"/>
  <c r="CJ23" i="5"/>
  <c r="W23" i="5"/>
  <c r="T23" i="5"/>
  <c r="V23" i="5"/>
  <c r="U23" i="5"/>
  <c r="A24" i="5"/>
  <c r="X24" i="5" s="1"/>
  <c r="J106" i="5"/>
  <c r="I106" i="5" s="1"/>
  <c r="A146" i="5"/>
  <c r="BD24" i="5" l="1"/>
  <c r="DP24" i="5"/>
  <c r="GB24" i="5"/>
  <c r="EV24" i="5"/>
  <c r="CJ24" i="5"/>
  <c r="W24" i="5"/>
  <c r="T24" i="5"/>
  <c r="V24" i="5"/>
  <c r="U24" i="5"/>
  <c r="A25" i="5"/>
  <c r="J107" i="5"/>
  <c r="I107" i="5" s="1"/>
  <c r="A147" i="5"/>
  <c r="E22" i="16" l="1"/>
  <c r="E32" i="16"/>
  <c r="E26" i="16"/>
  <c r="E23" i="16"/>
  <c r="X25" i="5"/>
  <c r="EV25" i="5"/>
  <c r="CJ25" i="5"/>
  <c r="BD25" i="5"/>
  <c r="GB25" i="5"/>
  <c r="DP25" i="5"/>
  <c r="W25" i="5"/>
  <c r="T25" i="5"/>
  <c r="V25" i="5"/>
  <c r="U25" i="5"/>
  <c r="A26" i="5"/>
  <c r="J108" i="5"/>
  <c r="I108" i="5" s="1"/>
  <c r="A148" i="5"/>
  <c r="E25" i="16" l="1"/>
  <c r="E30" i="16"/>
  <c r="E31" i="16"/>
  <c r="X26" i="5"/>
  <c r="GB26" i="5"/>
  <c r="BD26" i="5"/>
  <c r="EV26" i="5"/>
  <c r="DP26" i="5"/>
  <c r="CJ26" i="5"/>
  <c r="W26" i="5"/>
  <c r="T26" i="5"/>
  <c r="V26" i="5"/>
  <c r="U26" i="5"/>
  <c r="A27" i="5"/>
  <c r="J109" i="5"/>
  <c r="I109" i="5" s="1"/>
  <c r="A149" i="5"/>
  <c r="GB27" i="5" l="1"/>
  <c r="BD27" i="5"/>
  <c r="DP27" i="5"/>
  <c r="X27" i="5"/>
  <c r="EV27" i="5"/>
  <c r="CJ27" i="5"/>
  <c r="W27" i="5"/>
  <c r="T27" i="5"/>
  <c r="V27" i="5"/>
  <c r="U27" i="5"/>
  <c r="A28" i="5"/>
  <c r="J110" i="5"/>
  <c r="I110" i="5" s="1"/>
  <c r="A150" i="5"/>
  <c r="DP28" i="5" l="1"/>
  <c r="GB28" i="5"/>
  <c r="BD28" i="5"/>
  <c r="X28" i="5"/>
  <c r="CJ28" i="5"/>
  <c r="EV28" i="5"/>
  <c r="W28" i="5"/>
  <c r="T28" i="5"/>
  <c r="V28" i="5"/>
  <c r="U28" i="5"/>
  <c r="A29" i="5"/>
  <c r="J111" i="5"/>
  <c r="I111" i="5" s="1"/>
  <c r="A151" i="5"/>
  <c r="DP29" i="5" l="1"/>
  <c r="GB29" i="5"/>
  <c r="BD29" i="5"/>
  <c r="X29" i="5"/>
  <c r="CJ29" i="5"/>
  <c r="EV29" i="5"/>
  <c r="W29" i="5"/>
  <c r="T29" i="5"/>
  <c r="V29" i="5"/>
  <c r="U29" i="5"/>
  <c r="A30" i="5"/>
  <c r="J112" i="5"/>
  <c r="I112" i="5" s="1"/>
  <c r="A152" i="5"/>
  <c r="BD30" i="5" l="1"/>
  <c r="X30" i="5"/>
  <c r="DP30" i="5"/>
  <c r="GB30" i="5"/>
  <c r="EV30" i="5"/>
  <c r="CJ30" i="5"/>
  <c r="W30" i="5"/>
  <c r="T30" i="5"/>
  <c r="V30" i="5"/>
  <c r="U30" i="5"/>
  <c r="A31" i="5"/>
  <c r="J113" i="5"/>
  <c r="I113" i="5" s="1"/>
  <c r="A153" i="5"/>
  <c r="GB31" i="5" l="1"/>
  <c r="BD31" i="5"/>
  <c r="X31" i="5"/>
  <c r="DP31" i="5"/>
  <c r="CJ31" i="5"/>
  <c r="EV31" i="5"/>
  <c r="W31" i="5"/>
  <c r="T31" i="5"/>
  <c r="V31" i="5"/>
  <c r="U31" i="5"/>
  <c r="A32" i="5"/>
  <c r="J114" i="5"/>
  <c r="I114" i="5" s="1"/>
  <c r="A154" i="5"/>
  <c r="DP32" i="5" l="1"/>
  <c r="GB32" i="5"/>
  <c r="BD32" i="5"/>
  <c r="X32" i="5"/>
  <c r="CJ32" i="5"/>
  <c r="EV32" i="5"/>
  <c r="W32" i="5"/>
  <c r="T32" i="5"/>
  <c r="V32" i="5"/>
  <c r="U32" i="5"/>
  <c r="A33" i="5"/>
  <c r="GB33" i="5" s="1"/>
  <c r="J115" i="5"/>
  <c r="I115" i="5" s="1"/>
  <c r="A155" i="5"/>
  <c r="X33" i="5" l="1"/>
  <c r="CJ33" i="5"/>
  <c r="DP33" i="5"/>
  <c r="BD33" i="5"/>
  <c r="EV33" i="5"/>
  <c r="W33" i="5"/>
  <c r="T33" i="5"/>
  <c r="V33" i="5"/>
  <c r="U33" i="5"/>
  <c r="A34" i="5"/>
  <c r="J116" i="5"/>
  <c r="I116" i="5" s="1"/>
  <c r="A156" i="5"/>
  <c r="X34" i="5" l="1"/>
  <c r="GB34" i="5"/>
  <c r="EV34" i="5"/>
  <c r="CJ34" i="5"/>
  <c r="BD34" i="5"/>
  <c r="DP34" i="5"/>
  <c r="W34" i="5"/>
  <c r="T34" i="5"/>
  <c r="V34" i="5"/>
  <c r="U34" i="5"/>
  <c r="A35" i="5"/>
  <c r="J117" i="5"/>
  <c r="A157" i="5"/>
  <c r="I117" i="5" l="1"/>
  <c r="J118" i="5"/>
  <c r="X35" i="5"/>
  <c r="GB35" i="5"/>
  <c r="CJ35" i="5"/>
  <c r="DP35" i="5"/>
  <c r="EV35" i="5"/>
  <c r="BD35" i="5"/>
  <c r="W35" i="5"/>
  <c r="T35" i="5"/>
  <c r="V35" i="5"/>
  <c r="U35" i="5"/>
  <c r="A36" i="5"/>
  <c r="I118" i="5"/>
  <c r="A158" i="5"/>
  <c r="X36" i="5" l="1"/>
  <c r="GB36" i="5"/>
  <c r="EV36" i="5"/>
  <c r="CJ36" i="5"/>
  <c r="DP36" i="5"/>
  <c r="BD36" i="5"/>
  <c r="W36" i="5"/>
  <c r="T36" i="5"/>
  <c r="V36" i="5"/>
  <c r="U36" i="5"/>
  <c r="A37" i="5"/>
  <c r="J119" i="5"/>
  <c r="I119" i="5" s="1"/>
  <c r="A159" i="5"/>
  <c r="X37" i="5" l="1"/>
  <c r="BD37" i="5"/>
  <c r="GB37" i="5"/>
  <c r="EV37" i="5"/>
  <c r="DP37" i="5"/>
  <c r="CJ37" i="5"/>
  <c r="W37" i="5"/>
  <c r="T37" i="5"/>
  <c r="V37" i="5"/>
  <c r="U37" i="5"/>
  <c r="A38" i="5"/>
  <c r="J120" i="5"/>
  <c r="I120" i="5" s="1"/>
  <c r="A160" i="5"/>
  <c r="X38" i="5" l="1"/>
  <c r="EV38" i="5"/>
  <c r="CJ38" i="5"/>
  <c r="BD38" i="5"/>
  <c r="GB38" i="5"/>
  <c r="DP38" i="5"/>
  <c r="W38" i="5"/>
  <c r="T38" i="5"/>
  <c r="V38" i="5"/>
  <c r="U38" i="5"/>
  <c r="A39" i="5"/>
  <c r="J121" i="5"/>
  <c r="I121" i="5" s="1"/>
  <c r="A161" i="5"/>
  <c r="X39" i="5" l="1"/>
  <c r="GB39" i="5"/>
  <c r="EV39" i="5"/>
  <c r="CJ39" i="5"/>
  <c r="BD39" i="5"/>
  <c r="DP39" i="5"/>
  <c r="W39" i="5"/>
  <c r="T39" i="5"/>
  <c r="V39" i="5"/>
  <c r="U39" i="5"/>
  <c r="A40" i="5"/>
  <c r="J122" i="5"/>
  <c r="I122" i="5" s="1"/>
  <c r="A162" i="5"/>
  <c r="X40" i="5" l="1"/>
  <c r="CJ40" i="5"/>
  <c r="BD40" i="5"/>
  <c r="DP40" i="5"/>
  <c r="GB40" i="5"/>
  <c r="EV40" i="5"/>
  <c r="W40" i="5"/>
  <c r="T40" i="5"/>
  <c r="V40" i="5"/>
  <c r="U40" i="5"/>
  <c r="A41" i="5"/>
  <c r="J123" i="5"/>
  <c r="I123" i="5" s="1"/>
  <c r="A163" i="5"/>
  <c r="X41" i="5" l="1"/>
  <c r="EV41" i="5"/>
  <c r="CJ41" i="5"/>
  <c r="DP41" i="5"/>
  <c r="GB41" i="5"/>
  <c r="BD41" i="5"/>
  <c r="W41" i="5"/>
  <c r="T41" i="5"/>
  <c r="V41" i="5"/>
  <c r="U41" i="5"/>
  <c r="A42" i="5"/>
  <c r="J124" i="5"/>
  <c r="I124" i="5" s="1"/>
  <c r="A164" i="5"/>
  <c r="X42" i="5" l="1"/>
  <c r="BD42" i="5"/>
  <c r="EV42" i="5"/>
  <c r="DP42" i="5"/>
  <c r="GB42" i="5"/>
  <c r="CJ42" i="5"/>
  <c r="W42" i="5"/>
  <c r="T42" i="5"/>
  <c r="V42" i="5"/>
  <c r="U42" i="5"/>
  <c r="A43" i="5"/>
  <c r="J125" i="5"/>
  <c r="I125" i="5" s="1"/>
  <c r="A165" i="5"/>
  <c r="X43" i="5" l="1"/>
  <c r="CJ43" i="5"/>
  <c r="GB43" i="5"/>
  <c r="EV43" i="5"/>
  <c r="DP43" i="5"/>
  <c r="BD43" i="5"/>
  <c r="W43" i="5"/>
  <c r="T43" i="5"/>
  <c r="V43" i="5"/>
  <c r="U43" i="5"/>
  <c r="A44" i="5"/>
  <c r="J126" i="5"/>
  <c r="I126" i="5" s="1"/>
  <c r="A166" i="5"/>
  <c r="X44" i="5" l="1"/>
  <c r="DP44" i="5"/>
  <c r="CJ44" i="5"/>
  <c r="GB44" i="5"/>
  <c r="EV44" i="5"/>
  <c r="BD44" i="5"/>
  <c r="W44" i="5"/>
  <c r="T44" i="5"/>
  <c r="V44" i="5"/>
  <c r="U44" i="5"/>
  <c r="A45" i="5"/>
  <c r="J127" i="5"/>
  <c r="I127" i="5" s="1"/>
  <c r="A167" i="5"/>
  <c r="X45" i="5" l="1"/>
  <c r="DP45" i="5"/>
  <c r="BD45" i="5"/>
  <c r="GB45" i="5"/>
  <c r="CJ45" i="5"/>
  <c r="EV45" i="5"/>
  <c r="W45" i="5"/>
  <c r="T45" i="5"/>
  <c r="V45" i="5"/>
  <c r="U45" i="5"/>
  <c r="A46" i="5"/>
  <c r="J128" i="5"/>
  <c r="I128" i="5" s="1"/>
  <c r="A168" i="5"/>
  <c r="A169" i="5" s="1"/>
  <c r="X46" i="5" l="1"/>
  <c r="CJ46" i="5"/>
  <c r="DP46" i="5"/>
  <c r="EV46" i="5"/>
  <c r="BD46" i="5"/>
  <c r="GB46" i="5"/>
  <c r="W46" i="5"/>
  <c r="T46" i="5"/>
  <c r="V46" i="5"/>
  <c r="U46" i="5"/>
  <c r="A47" i="5"/>
  <c r="J129" i="5"/>
  <c r="I129" i="5" s="1"/>
  <c r="X47" i="5" l="1"/>
  <c r="EV47" i="5"/>
  <c r="DP47" i="5"/>
  <c r="CJ47" i="5"/>
  <c r="GB47" i="5"/>
  <c r="BD47" i="5"/>
  <c r="W47" i="5"/>
  <c r="T47" i="5"/>
  <c r="V47" i="5"/>
  <c r="U47" i="5"/>
  <c r="A48" i="5"/>
  <c r="J130" i="5"/>
  <c r="I130" i="5" s="1"/>
  <c r="X48" i="5" l="1"/>
  <c r="EV48" i="5"/>
  <c r="GB48" i="5"/>
  <c r="BD48" i="5"/>
  <c r="CJ48" i="5"/>
  <c r="DP48" i="5"/>
  <c r="W48" i="5"/>
  <c r="T48" i="5"/>
  <c r="V48" i="5"/>
  <c r="U48" i="5"/>
  <c r="A49" i="5"/>
  <c r="J131" i="5"/>
  <c r="I131" i="5" s="1"/>
  <c r="X49" i="5" l="1"/>
  <c r="GB49" i="5"/>
  <c r="EV49" i="5"/>
  <c r="DP49" i="5"/>
  <c r="BD49" i="5"/>
  <c r="CJ49" i="5"/>
  <c r="W49" i="5"/>
  <c r="T49" i="5"/>
  <c r="V49" i="5"/>
  <c r="U49" i="5"/>
  <c r="A50" i="5"/>
  <c r="J132" i="5"/>
  <c r="I132" i="5" s="1"/>
  <c r="X50" i="5" l="1"/>
  <c r="GB50" i="5"/>
  <c r="EV50" i="5"/>
  <c r="CJ50" i="5"/>
  <c r="BD50" i="5"/>
  <c r="DP50" i="5"/>
  <c r="W50" i="5"/>
  <c r="T50" i="5"/>
  <c r="V50" i="5"/>
  <c r="U50" i="5"/>
  <c r="A51" i="5"/>
  <c r="X51" i="5" l="1"/>
  <c r="EV51" i="5"/>
  <c r="DP51" i="5"/>
  <c r="BD51" i="5"/>
  <c r="CJ51" i="5"/>
  <c r="GB51" i="5"/>
  <c r="W51" i="5"/>
  <c r="T51" i="5"/>
  <c r="V51" i="5"/>
  <c r="U51" i="5"/>
  <c r="A52" i="5"/>
  <c r="X52" i="5" l="1"/>
  <c r="GB52" i="5"/>
  <c r="CJ52" i="5"/>
  <c r="DP52" i="5"/>
  <c r="EV52" i="5"/>
  <c r="BD52" i="5"/>
  <c r="W52" i="5"/>
  <c r="T52" i="5"/>
  <c r="V52" i="5"/>
  <c r="U52" i="5"/>
  <c r="A53" i="5"/>
  <c r="X53" i="5" l="1"/>
  <c r="EV53" i="5"/>
  <c r="DP53" i="5"/>
  <c r="CJ53" i="5"/>
  <c r="GB53" i="5"/>
  <c r="BD53" i="5"/>
  <c r="W53" i="5"/>
  <c r="T53" i="5"/>
  <c r="V53" i="5"/>
  <c r="U53" i="5"/>
  <c r="A54" i="5"/>
  <c r="X54" i="5" l="1"/>
  <c r="DP54" i="5"/>
  <c r="BD54" i="5"/>
  <c r="CJ54" i="5"/>
  <c r="GB54" i="5"/>
  <c r="EV54" i="5"/>
  <c r="W54" i="5"/>
  <c r="T54" i="5"/>
  <c r="V54" i="5"/>
  <c r="U54" i="5"/>
  <c r="A55" i="5"/>
  <c r="A56" i="5" s="1"/>
  <c r="X55" i="5" l="1"/>
  <c r="EV55" i="5"/>
  <c r="BD55" i="5"/>
  <c r="DP55" i="5"/>
  <c r="GB55" i="5"/>
  <c r="CJ55" i="5"/>
  <c r="W55" i="5"/>
  <c r="T55" i="5"/>
  <c r="V55" i="5"/>
  <c r="U55" i="5"/>
  <c r="X56" i="5" l="1"/>
  <c r="CJ56" i="5"/>
  <c r="GB56" i="5"/>
  <c r="EV56" i="5"/>
  <c r="BD56" i="5"/>
  <c r="DP56" i="5"/>
  <c r="W56" i="5"/>
  <c r="T56" i="5"/>
  <c r="V56" i="5"/>
  <c r="U56" i="5"/>
  <c r="A57" i="5"/>
  <c r="X57" i="5" l="1"/>
  <c r="DP57" i="5"/>
  <c r="BD57" i="5"/>
  <c r="GB57" i="5"/>
  <c r="CJ57" i="5"/>
  <c r="EV57" i="5"/>
  <c r="W57" i="5"/>
  <c r="T57" i="5"/>
  <c r="V57" i="5"/>
  <c r="U57" i="5"/>
  <c r="A58" i="5"/>
  <c r="X58" i="5" l="1"/>
  <c r="CJ58" i="5"/>
  <c r="EV58" i="5"/>
  <c r="BD58" i="5"/>
  <c r="GB58" i="5"/>
  <c r="DP58" i="5"/>
  <c r="W58" i="5"/>
  <c r="T58" i="5"/>
  <c r="V58" i="5"/>
  <c r="U58" i="5"/>
  <c r="A59" i="5"/>
  <c r="M330" i="14" l="1"/>
  <c r="I330" i="14" s="1"/>
  <c r="M334" i="14"/>
  <c r="I334" i="14" s="1"/>
  <c r="D24" i="16" s="1"/>
  <c r="M345" i="14"/>
  <c r="I345" i="14" s="1"/>
  <c r="E371" i="14" s="1"/>
  <c r="M342" i="14"/>
  <c r="I342" i="14" s="1"/>
  <c r="M335" i="14"/>
  <c r="I335" i="14" s="1"/>
  <c r="M339" i="14"/>
  <c r="I339" i="14" s="1"/>
  <c r="G343" i="14"/>
  <c r="G342" i="14"/>
  <c r="G341" i="14"/>
  <c r="G336" i="14"/>
  <c r="G337" i="14"/>
  <c r="G334" i="14"/>
  <c r="G335" i="14"/>
  <c r="M333" i="14"/>
  <c r="M338" i="14"/>
  <c r="M341" i="14"/>
  <c r="M336" i="14"/>
  <c r="M332" i="14"/>
  <c r="M344" i="14"/>
  <c r="M329" i="14"/>
  <c r="M346" i="14"/>
  <c r="M337" i="14"/>
  <c r="M340" i="14"/>
  <c r="M331" i="14"/>
  <c r="M343" i="14"/>
  <c r="G333" i="14"/>
  <c r="G332" i="14"/>
  <c r="X59" i="5"/>
  <c r="CJ59" i="5"/>
  <c r="DP59" i="5"/>
  <c r="BD59" i="5"/>
  <c r="EV59" i="5"/>
  <c r="GB59" i="5"/>
  <c r="W59" i="5"/>
  <c r="T59" i="5"/>
  <c r="V59" i="5"/>
  <c r="U59" i="5"/>
  <c r="A60" i="5"/>
  <c r="I348" i="14" l="1"/>
  <c r="D25" i="16"/>
  <c r="P335" i="14"/>
  <c r="R335" i="14" s="1"/>
  <c r="P330" i="14"/>
  <c r="E356" i="14"/>
  <c r="D19" i="16"/>
  <c r="F19" i="16" s="1"/>
  <c r="R19" i="16" s="1"/>
  <c r="E365" i="14"/>
  <c r="G365" i="14" s="1"/>
  <c r="H365" i="14" s="1"/>
  <c r="D28" i="16"/>
  <c r="F28" i="16" s="1"/>
  <c r="R28" i="16" s="1"/>
  <c r="P339" i="14"/>
  <c r="R339" i="14" s="1"/>
  <c r="D31" i="16"/>
  <c r="F31" i="16" s="1"/>
  <c r="R31" i="16" s="1"/>
  <c r="P342" i="14"/>
  <c r="R342" i="14" s="1"/>
  <c r="X60" i="5"/>
  <c r="DP60" i="5"/>
  <c r="BD60" i="5"/>
  <c r="EV60" i="5"/>
  <c r="CJ60" i="5"/>
  <c r="GB60" i="5"/>
  <c r="W60" i="5"/>
  <c r="T60" i="5"/>
  <c r="V60" i="5"/>
  <c r="U60" i="5"/>
  <c r="A61" i="5"/>
  <c r="R330" i="14" l="1"/>
  <c r="G356" i="14"/>
  <c r="H356" i="14" s="1"/>
  <c r="M19" i="16"/>
  <c r="H19" i="16"/>
  <c r="M28" i="16"/>
  <c r="H28" i="16"/>
  <c r="M31" i="16"/>
  <c r="H31" i="16"/>
  <c r="J19" i="16"/>
  <c r="L19" i="16"/>
  <c r="J28" i="16"/>
  <c r="L28" i="16"/>
  <c r="J31" i="16"/>
  <c r="L31" i="16"/>
  <c r="K19" i="16"/>
  <c r="I19" i="16"/>
  <c r="K28" i="16"/>
  <c r="I28" i="16"/>
  <c r="K31" i="16"/>
  <c r="I31" i="16"/>
  <c r="F25" i="16"/>
  <c r="R25" i="16" s="1"/>
  <c r="X61" i="5"/>
  <c r="GB61" i="5"/>
  <c r="EV61" i="5"/>
  <c r="DP61" i="5"/>
  <c r="BD61" i="5"/>
  <c r="CJ61" i="5"/>
  <c r="W61" i="5"/>
  <c r="T61" i="5"/>
  <c r="V61" i="5"/>
  <c r="U61" i="5"/>
  <c r="A62" i="5"/>
  <c r="M25" i="16" l="1"/>
  <c r="H25" i="16"/>
  <c r="X28" i="16"/>
  <c r="P365" i="14" s="1"/>
  <c r="R365" i="14" s="1"/>
  <c r="J25" i="16"/>
  <c r="L25" i="16"/>
  <c r="I365" i="14"/>
  <c r="N365" i="14" s="1"/>
  <c r="I368" i="14"/>
  <c r="X19" i="16"/>
  <c r="P356" i="14" s="1"/>
  <c r="K25" i="16"/>
  <c r="I25" i="16"/>
  <c r="X31" i="16"/>
  <c r="I356" i="14"/>
  <c r="N356" i="14" s="1"/>
  <c r="X62" i="5"/>
  <c r="GB62" i="5"/>
  <c r="EV62" i="5"/>
  <c r="CJ62" i="5"/>
  <c r="BD62" i="5"/>
  <c r="DP62" i="5"/>
  <c r="W62" i="5"/>
  <c r="T62" i="5"/>
  <c r="V62" i="5"/>
  <c r="U62" i="5"/>
  <c r="A63" i="5"/>
  <c r="R356" i="14" l="1"/>
  <c r="X25" i="16"/>
  <c r="M405" i="14" s="1"/>
  <c r="S405" i="14" s="1"/>
  <c r="I361" i="14"/>
  <c r="X63" i="5"/>
  <c r="DP63" i="5"/>
  <c r="CJ63" i="5"/>
  <c r="BD63" i="5"/>
  <c r="EV63" i="5"/>
  <c r="GB63" i="5"/>
  <c r="W63" i="5"/>
  <c r="T63" i="5"/>
  <c r="V63" i="5"/>
  <c r="U63" i="5"/>
  <c r="A64" i="5"/>
  <c r="M404" i="14" l="1"/>
  <c r="S404" i="14" s="1"/>
  <c r="X64" i="5"/>
  <c r="GB64" i="5"/>
  <c r="CJ64" i="5"/>
  <c r="EV64" i="5"/>
  <c r="DP64" i="5"/>
  <c r="BD64" i="5"/>
  <c r="W64" i="5"/>
  <c r="T64" i="5"/>
  <c r="V64" i="5"/>
  <c r="U64" i="5"/>
  <c r="A65" i="5"/>
  <c r="X65" i="5" l="1"/>
  <c r="EV65" i="5"/>
  <c r="BD65" i="5"/>
  <c r="CJ65" i="5"/>
  <c r="GB65" i="5"/>
  <c r="DP65" i="5"/>
  <c r="W65" i="5"/>
  <c r="T65" i="5"/>
  <c r="V65" i="5"/>
  <c r="U65" i="5"/>
  <c r="A66" i="5"/>
  <c r="X66" i="5" l="1"/>
  <c r="DP66" i="5"/>
  <c r="GB66" i="5"/>
  <c r="CJ66" i="5"/>
  <c r="EV66" i="5"/>
  <c r="BD66" i="5"/>
  <c r="W66" i="5"/>
  <c r="U66" i="5"/>
  <c r="T66" i="5"/>
  <c r="V66" i="5"/>
  <c r="A67" i="5"/>
  <c r="X67" i="5" l="1"/>
  <c r="GB67" i="5"/>
  <c r="BD67" i="5"/>
  <c r="DP67" i="5"/>
  <c r="EV67" i="5"/>
  <c r="CJ67" i="5"/>
  <c r="W67" i="5"/>
  <c r="T67" i="5"/>
  <c r="V67" i="5"/>
  <c r="U67" i="5"/>
  <c r="A68" i="5"/>
  <c r="A69" i="5" l="1"/>
  <c r="U68" i="5"/>
  <c r="T68" i="5"/>
  <c r="W68" i="5"/>
  <c r="V68" i="5"/>
  <c r="X68" i="5"/>
  <c r="BD68" i="5"/>
  <c r="CJ68" i="5"/>
  <c r="GB68" i="5"/>
  <c r="EV68" i="5"/>
  <c r="DP68" i="5"/>
  <c r="E21" i="16" l="1"/>
  <c r="P334" i="14"/>
  <c r="E24" i="16"/>
  <c r="F24" i="16" s="1"/>
  <c r="H24" i="16" l="1"/>
  <c r="R24" i="16"/>
  <c r="L24" i="16"/>
  <c r="M24" i="16"/>
  <c r="P21" i="16"/>
  <c r="P24" i="16"/>
  <c r="K24" i="16"/>
  <c r="J24" i="16"/>
  <c r="I24" i="16"/>
  <c r="R334" i="14"/>
  <c r="I360" i="14" l="1"/>
  <c r="N361" i="14"/>
  <c r="X24" i="16"/>
  <c r="M402" i="14" l="1"/>
  <c r="M403" i="14"/>
  <c r="S403" i="14" s="1"/>
  <c r="N360" i="14"/>
  <c r="D36" i="4" l="1"/>
  <c r="G36" i="4" s="1"/>
  <c r="S402" i="14"/>
  <c r="D42" i="4"/>
  <c r="G42" i="4" s="1"/>
  <c r="F79" i="4" l="1"/>
  <c r="A210" i="14" l="1"/>
  <c r="A211" i="14" l="1"/>
  <c r="A213" i="14" s="1"/>
  <c r="A214" i="14" l="1"/>
  <c r="A227" i="14" s="1"/>
  <c r="A228" i="14" s="1"/>
  <c r="A232" i="14" l="1"/>
  <c r="A233" i="14" l="1"/>
  <c r="A235" i="14"/>
  <c r="A270" i="14"/>
  <c r="A234" i="14" l="1"/>
  <c r="A241" i="14" s="1"/>
  <c r="A243" i="14" s="1"/>
  <c r="A256" i="14"/>
  <c r="A246" i="14" l="1"/>
  <c r="A248" i="14" s="1"/>
  <c r="A255" i="14" l="1"/>
  <c r="A267" i="14" s="1"/>
  <c r="A269" i="14"/>
  <c r="P403" i="14"/>
  <c r="Q403" i="14" s="1"/>
  <c r="A268" i="14" l="1"/>
  <c r="A276" i="14"/>
  <c r="A277" i="14" s="1"/>
  <c r="A272" i="14" l="1"/>
  <c r="CJ69" i="5"/>
  <c r="GB69" i="5"/>
  <c r="DP69" i="5"/>
  <c r="X69" i="5"/>
  <c r="V69" i="5"/>
  <c r="W69" i="5"/>
  <c r="BD69" i="5"/>
  <c r="EV69" i="5"/>
  <c r="U69" i="5"/>
  <c r="T69" i="5"/>
  <c r="A70" i="5"/>
  <c r="GB70" i="5" s="1"/>
  <c r="A170" i="5"/>
  <c r="A171" i="5" s="1"/>
  <c r="A172" i="5" s="1"/>
  <c r="A173" i="5" s="1"/>
  <c r="A174" i="5" s="1"/>
  <c r="A175" i="5" s="1"/>
  <c r="A176" i="5" s="1"/>
  <c r="A177" i="5" s="1"/>
  <c r="A178" i="5" s="1"/>
  <c r="A179" i="5" s="1"/>
  <c r="A180" i="5" s="1"/>
  <c r="A181" i="5" s="1"/>
  <c r="A182" i="5" s="1"/>
  <c r="D70" i="15"/>
  <c r="D71" i="15" s="1"/>
  <c r="D72" i="15" s="1"/>
  <c r="D73" i="15" s="1"/>
  <c r="D74" i="15" s="1"/>
  <c r="D75" i="15" s="1"/>
  <c r="A275" i="14" l="1"/>
  <c r="A284" i="14" s="1"/>
  <c r="D76" i="15"/>
  <c r="D77" i="15" s="1"/>
  <c r="D78" i="15" s="1"/>
  <c r="D79" i="15" s="1"/>
  <c r="D80" i="15" s="1"/>
  <c r="D81" i="15" s="1"/>
  <c r="L26" i="14" s="1"/>
  <c r="L24" i="14"/>
  <c r="P30" i="16"/>
  <c r="P17" i="16" s="1"/>
  <c r="V70" i="5"/>
  <c r="X70" i="5"/>
  <c r="U70" i="5"/>
  <c r="DP70" i="5"/>
  <c r="A71" i="5"/>
  <c r="EV70" i="5"/>
  <c r="T70" i="5"/>
  <c r="CJ70" i="5"/>
  <c r="W70" i="5"/>
  <c r="BD70" i="5"/>
  <c r="A285" i="14" l="1"/>
  <c r="A286" i="14" s="1"/>
  <c r="A287" i="14"/>
  <c r="U71" i="5"/>
  <c r="DP71" i="5"/>
  <c r="A72" i="5"/>
  <c r="V71" i="5"/>
  <c r="CJ71" i="5"/>
  <c r="GB71" i="5"/>
  <c r="T71" i="5"/>
  <c r="W71" i="5"/>
  <c r="X71" i="5"/>
  <c r="BD71" i="5"/>
  <c r="EV71" i="5"/>
  <c r="E368" i="14" l="1"/>
  <c r="P368" i="14" s="1"/>
  <c r="R368" i="14" s="1"/>
  <c r="E360" i="14"/>
  <c r="E361" i="14"/>
  <c r="P361" i="14" s="1"/>
  <c r="R361" i="14" s="1"/>
  <c r="N368" i="14"/>
  <c r="A288" i="14"/>
  <c r="A289" i="14" s="1"/>
  <c r="EV72" i="5"/>
  <c r="X72" i="5"/>
  <c r="BD72" i="5"/>
  <c r="CJ72" i="5"/>
  <c r="V72" i="5"/>
  <c r="U72" i="5"/>
  <c r="DP72" i="5"/>
  <c r="T72" i="5"/>
  <c r="W72" i="5"/>
  <c r="GB72" i="5"/>
  <c r="A73" i="5"/>
  <c r="P360" i="14" l="1"/>
  <c r="R360" i="14" s="1"/>
  <c r="E374" i="14"/>
  <c r="G361" i="14"/>
  <c r="H361" i="14" s="1"/>
  <c r="G368" i="14"/>
  <c r="H368" i="14" s="1"/>
  <c r="G360" i="14"/>
  <c r="H360" i="14" s="1"/>
  <c r="GB73" i="5"/>
  <c r="EV73" i="5"/>
  <c r="W73" i="5"/>
  <c r="X73" i="5"/>
  <c r="DP73" i="5"/>
  <c r="U73" i="5"/>
  <c r="V73" i="5"/>
  <c r="BD73" i="5"/>
  <c r="T73" i="5"/>
  <c r="A74" i="5"/>
  <c r="CJ73" i="5"/>
  <c r="I48" i="4" l="1"/>
  <c r="I27" i="4" s="1"/>
  <c r="D48" i="4" s="1"/>
  <c r="G48" i="4" s="1"/>
  <c r="GB74" i="5"/>
  <c r="BD74" i="5"/>
  <c r="W74" i="5"/>
  <c r="EV74" i="5"/>
  <c r="T74" i="5"/>
  <c r="X74" i="5"/>
  <c r="DP74" i="5"/>
  <c r="CJ74" i="5"/>
  <c r="A75" i="5"/>
  <c r="V74" i="5"/>
  <c r="U74" i="5"/>
  <c r="GB75" i="5" l="1"/>
  <c r="V75" i="5"/>
  <c r="W75" i="5"/>
  <c r="A76" i="5"/>
  <c r="T75" i="5"/>
  <c r="DP75" i="5"/>
  <c r="CJ75" i="5"/>
  <c r="EV75" i="5"/>
  <c r="U75" i="5"/>
  <c r="BD75" i="5"/>
  <c r="X75" i="5"/>
  <c r="GB76" i="5" l="1"/>
  <c r="BD76" i="5"/>
  <c r="EV76" i="5"/>
  <c r="DP76" i="5"/>
  <c r="W76" i="5"/>
  <c r="V76" i="5"/>
  <c r="T76" i="5"/>
  <c r="CJ76" i="5"/>
  <c r="U76" i="5"/>
  <c r="X76" i="5"/>
  <c r="A77" i="5"/>
  <c r="BD77" i="5" l="1"/>
  <c r="GB77" i="5"/>
  <c r="W77" i="5"/>
  <c r="DP77" i="5"/>
  <c r="U77" i="5"/>
  <c r="V77" i="5"/>
  <c r="CJ77" i="5"/>
  <c r="EV77" i="5"/>
  <c r="A78" i="5"/>
  <c r="X77" i="5"/>
  <c r="T77" i="5"/>
  <c r="V78" i="5" l="1"/>
  <c r="BD78" i="5"/>
  <c r="U78" i="5"/>
  <c r="DP78" i="5"/>
  <c r="CJ78" i="5"/>
  <c r="T78" i="5"/>
  <c r="W78" i="5"/>
  <c r="GB78" i="5"/>
  <c r="A79" i="5"/>
  <c r="X78" i="5"/>
  <c r="EV78" i="5"/>
  <c r="CJ79" i="5" l="1"/>
  <c r="T79" i="5"/>
  <c r="V79" i="5"/>
  <c r="A80" i="5"/>
  <c r="EV79" i="5"/>
  <c r="BD79" i="5"/>
  <c r="DP79" i="5"/>
  <c r="X79" i="5"/>
  <c r="U79" i="5"/>
  <c r="GB79" i="5"/>
  <c r="W79" i="5"/>
  <c r="U80" i="5" l="1"/>
  <c r="GB80" i="5"/>
  <c r="V80" i="5"/>
  <c r="W80" i="5"/>
  <c r="EV80" i="5"/>
  <c r="BD80" i="5"/>
  <c r="T80" i="5"/>
  <c r="X80" i="5"/>
  <c r="DP80" i="5"/>
  <c r="CJ80" i="5"/>
  <c r="A81" i="5"/>
  <c r="BD81" i="5" l="1"/>
  <c r="EV81" i="5"/>
  <c r="CJ81" i="5"/>
  <c r="GB81" i="5"/>
  <c r="DP81" i="5"/>
  <c r="U81" i="5"/>
  <c r="T81" i="5"/>
  <c r="A82" i="5"/>
  <c r="W81" i="5"/>
  <c r="X81" i="5"/>
  <c r="V81" i="5"/>
  <c r="V82" i="5" l="1"/>
  <c r="BD82" i="5"/>
  <c r="EV82" i="5"/>
  <c r="CJ82" i="5"/>
  <c r="X82" i="5"/>
  <c r="A83" i="5"/>
  <c r="GB82" i="5"/>
  <c r="T82" i="5"/>
  <c r="W82" i="5"/>
  <c r="U82" i="5"/>
  <c r="DP82" i="5"/>
  <c r="T83" i="5" l="1"/>
  <c r="EV83" i="5"/>
  <c r="U83" i="5"/>
  <c r="DP83" i="5"/>
  <c r="V83" i="5"/>
  <c r="BD83" i="5"/>
  <c r="X83" i="5"/>
  <c r="GB83" i="5"/>
  <c r="CJ83" i="5"/>
  <c r="A84" i="5"/>
  <c r="W83" i="5"/>
  <c r="BD84" i="5" l="1"/>
  <c r="U84" i="5"/>
  <c r="DP84" i="5"/>
  <c r="EV84" i="5"/>
  <c r="V84" i="5"/>
  <c r="X84" i="5"/>
  <c r="A85" i="5"/>
  <c r="CJ84" i="5"/>
  <c r="W84" i="5"/>
  <c r="GB84" i="5"/>
  <c r="T84" i="5"/>
  <c r="BD85" i="5" l="1"/>
  <c r="CJ85" i="5"/>
  <c r="A86" i="5"/>
  <c r="T85" i="5"/>
  <c r="DP85" i="5"/>
  <c r="GB85" i="5"/>
  <c r="W85" i="5"/>
  <c r="V85" i="5"/>
  <c r="U85" i="5"/>
  <c r="EV85" i="5"/>
  <c r="X85" i="5"/>
  <c r="T86" i="5" l="1"/>
  <c r="V86" i="5"/>
  <c r="EV86" i="5"/>
  <c r="GB86" i="5"/>
  <c r="W86" i="5"/>
  <c r="CJ86" i="5"/>
  <c r="A87" i="5"/>
  <c r="DP86" i="5"/>
  <c r="BD86" i="5"/>
  <c r="X86" i="5"/>
  <c r="U86" i="5"/>
  <c r="X87" i="5" l="1"/>
  <c r="V87" i="5"/>
  <c r="GB87" i="5"/>
  <c r="EV87" i="5"/>
  <c r="BD87" i="5"/>
  <c r="W87" i="5"/>
  <c r="T87" i="5"/>
  <c r="CJ87" i="5"/>
  <c r="DP87" i="5"/>
  <c r="A88" i="5"/>
  <c r="U87" i="5"/>
  <c r="GB88" i="5" l="1"/>
  <c r="U88" i="5"/>
  <c r="DP88" i="5"/>
  <c r="BD88" i="5"/>
  <c r="T88" i="5"/>
  <c r="X88" i="5"/>
  <c r="A89" i="5"/>
  <c r="V88" i="5"/>
  <c r="CJ88" i="5"/>
  <c r="EV88" i="5"/>
  <c r="W88" i="5"/>
  <c r="X89" i="5" l="1"/>
  <c r="BD89" i="5"/>
  <c r="T89" i="5"/>
  <c r="A90" i="5"/>
  <c r="EV89" i="5"/>
  <c r="GB89" i="5"/>
  <c r="W89" i="5"/>
  <c r="U89" i="5"/>
  <c r="CJ89" i="5"/>
  <c r="V89" i="5"/>
  <c r="DP89" i="5"/>
  <c r="V90" i="5" l="1"/>
  <c r="T90" i="5"/>
  <c r="X90" i="5"/>
  <c r="GB90" i="5"/>
  <c r="A91" i="5"/>
  <c r="U90" i="5"/>
  <c r="BD90" i="5"/>
  <c r="DP90" i="5"/>
  <c r="CJ90" i="5"/>
  <c r="W90" i="5"/>
  <c r="EV90" i="5"/>
  <c r="GB91" i="5" l="1"/>
  <c r="BD91" i="5"/>
  <c r="T91" i="5"/>
  <c r="W91" i="5"/>
  <c r="V91" i="5"/>
  <c r="CJ91" i="5"/>
  <c r="DP91" i="5"/>
  <c r="EV91" i="5"/>
  <c r="U91" i="5"/>
  <c r="X91" i="5"/>
  <c r="T293" i="14" l="1"/>
  <c r="T312" i="14" l="1"/>
  <c r="R313" i="14" l="1"/>
  <c r="S313" i="14" l="1"/>
  <c r="P313" i="14"/>
  <c r="P345" i="14" l="1"/>
  <c r="P348" i="14" s="1"/>
  <c r="D34" i="16"/>
  <c r="F34" i="16" l="1"/>
  <c r="G371" i="14"/>
  <c r="R345" i="14"/>
  <c r="R348" i="14" s="1"/>
  <c r="H34" i="16" l="1"/>
  <c r="R34" i="16"/>
  <c r="L34" i="16"/>
  <c r="M34" i="16"/>
  <c r="K34" i="16"/>
  <c r="I34" i="16"/>
  <c r="J34" i="16"/>
  <c r="G374" i="14"/>
  <c r="H371" i="14"/>
  <c r="H374" i="14" s="1"/>
  <c r="I371" i="14" l="1"/>
  <c r="X34" i="16"/>
  <c r="P371" i="14" l="1"/>
  <c r="N371" i="14"/>
  <c r="I374" i="14"/>
  <c r="N374" i="14" l="1"/>
  <c r="P374" i="14"/>
  <c r="R371" i="14"/>
  <c r="R374" i="14" s="1"/>
  <c r="S97" i="14" l="1"/>
  <c r="U98" i="14"/>
  <c r="V98" i="14"/>
  <c r="W97" i="14"/>
  <c r="T98" i="14"/>
  <c r="S100" i="14"/>
  <c r="T100" i="14"/>
  <c r="U100" i="14"/>
  <c r="V100" i="14"/>
  <c r="W100" i="14"/>
  <c r="T97" i="14"/>
  <c r="U97" i="14"/>
  <c r="V97" i="14" l="1"/>
  <c r="T95" i="14"/>
  <c r="U95" i="14"/>
  <c r="W98" i="14"/>
  <c r="S98" i="14"/>
  <c r="V95" i="14" l="1"/>
  <c r="W95" i="14"/>
  <c r="S95" i="14"/>
  <c r="Z100" i="14" l="1"/>
  <c r="T102" i="14" s="1"/>
  <c r="Z95" i="14" l="1"/>
  <c r="AC95" i="14" s="1"/>
  <c r="R106" i="14" l="1"/>
  <c r="P106" i="14" l="1"/>
  <c r="P103" i="14" s="1"/>
  <c r="R103" i="14"/>
  <c r="R112" i="14" s="1"/>
  <c r="U102" i="14" l="1"/>
  <c r="S109" i="14"/>
  <c r="S112" i="14"/>
  <c r="S103" i="14"/>
  <c r="R126" i="14" l="1"/>
  <c r="X398" i="14"/>
  <c r="X399" i="14" s="1"/>
  <c r="R124" i="14"/>
  <c r="R125" i="14"/>
  <c r="I331" i="14" s="1"/>
  <c r="R122" i="14"/>
  <c r="R123" i="14"/>
  <c r="I343" i="14" s="1"/>
  <c r="R120" i="14"/>
  <c r="R121" i="14"/>
  <c r="I340" i="14" s="1"/>
  <c r="G23" i="4"/>
  <c r="X400" i="14" l="1"/>
  <c r="X401" i="14" s="1"/>
  <c r="E357" i="14"/>
  <c r="D20" i="16"/>
  <c r="F20" i="16" s="1"/>
  <c r="R20" i="16" s="1"/>
  <c r="P331" i="14"/>
  <c r="P343" i="14"/>
  <c r="R343" i="14" s="1"/>
  <c r="D32" i="16"/>
  <c r="F32" i="16" s="1"/>
  <c r="R32" i="16" s="1"/>
  <c r="E369" i="14"/>
  <c r="G369" i="14" s="1"/>
  <c r="H369" i="14" s="1"/>
  <c r="P123" i="14"/>
  <c r="F31" i="4"/>
  <c r="G24" i="4"/>
  <c r="F33" i="4"/>
  <c r="F25" i="4"/>
  <c r="G25" i="4" s="1"/>
  <c r="G22" i="4"/>
  <c r="I329" i="14"/>
  <c r="T116" i="14"/>
  <c r="T119" i="14"/>
  <c r="S121" i="14" s="1"/>
  <c r="T117" i="14"/>
  <c r="V117" i="14"/>
  <c r="W117" i="14"/>
  <c r="U117" i="14"/>
  <c r="W119" i="14"/>
  <c r="S115" i="14"/>
  <c r="R115" i="14" s="1"/>
  <c r="V118" i="14"/>
  <c r="S117" i="14"/>
  <c r="R117" i="14" s="1"/>
  <c r="P117" i="14" s="1"/>
  <c r="W115" i="14"/>
  <c r="U119" i="14"/>
  <c r="S123" i="14" s="1"/>
  <c r="W118" i="14"/>
  <c r="I341" i="14"/>
  <c r="W116" i="14"/>
  <c r="U116" i="14"/>
  <c r="V115" i="14"/>
  <c r="T118" i="14"/>
  <c r="T115" i="14"/>
  <c r="S118" i="14"/>
  <c r="R118" i="14" s="1"/>
  <c r="P118" i="14" s="1"/>
  <c r="V116" i="14"/>
  <c r="S119" i="14"/>
  <c r="R119" i="14" s="1"/>
  <c r="I336" i="14" s="1"/>
  <c r="S116" i="14"/>
  <c r="R116" i="14" s="1"/>
  <c r="P116" i="14" s="1"/>
  <c r="V119" i="14"/>
  <c r="S125" i="14" s="1"/>
  <c r="U115" i="14"/>
  <c r="U118" i="14"/>
  <c r="P120" i="14"/>
  <c r="I338" i="14"/>
  <c r="G357" i="14" l="1"/>
  <c r="R331" i="14"/>
  <c r="M20" i="16"/>
  <c r="H20" i="16"/>
  <c r="M32" i="16"/>
  <c r="H32" i="16"/>
  <c r="J20" i="16"/>
  <c r="L20" i="16"/>
  <c r="J32" i="16"/>
  <c r="L32" i="16"/>
  <c r="K32" i="16"/>
  <c r="I32" i="16"/>
  <c r="F30" i="4"/>
  <c r="F39" i="4" s="1"/>
  <c r="F45" i="4" s="1"/>
  <c r="I20" i="16"/>
  <c r="K20" i="16"/>
  <c r="S126" i="14"/>
  <c r="S124" i="14"/>
  <c r="S122" i="14"/>
  <c r="S120" i="14"/>
  <c r="P115" i="14"/>
  <c r="P125" i="14"/>
  <c r="P121" i="14"/>
  <c r="P124" i="14"/>
  <c r="P122" i="14"/>
  <c r="P119" i="14"/>
  <c r="I333" i="14"/>
  <c r="R114" i="14"/>
  <c r="I332" i="14"/>
  <c r="E362" i="14"/>
  <c r="D23" i="16"/>
  <c r="F23" i="16" s="1"/>
  <c r="R23" i="16" s="1"/>
  <c r="P336" i="14"/>
  <c r="R336" i="14" s="1"/>
  <c r="E367" i="14"/>
  <c r="D30" i="16"/>
  <c r="P341" i="14"/>
  <c r="P338" i="14"/>
  <c r="D27" i="16"/>
  <c r="E364" i="14"/>
  <c r="E355" i="14"/>
  <c r="D18" i="16"/>
  <c r="P329" i="14"/>
  <c r="H357" i="14" l="1"/>
  <c r="F27" i="16"/>
  <c r="M23" i="16"/>
  <c r="H23" i="16"/>
  <c r="K23" i="16"/>
  <c r="L23" i="16"/>
  <c r="I369" i="14"/>
  <c r="N369" i="14" s="1"/>
  <c r="X32" i="16"/>
  <c r="P369" i="14" s="1"/>
  <c r="R369" i="14" s="1"/>
  <c r="I357" i="14"/>
  <c r="X20" i="16"/>
  <c r="P357" i="14" s="1"/>
  <c r="S114" i="14"/>
  <c r="R127" i="14"/>
  <c r="P114" i="14"/>
  <c r="E358" i="14"/>
  <c r="E359" i="14"/>
  <c r="G359" i="14" s="1"/>
  <c r="H359" i="14" s="1"/>
  <c r="I27" i="16"/>
  <c r="J23" i="16"/>
  <c r="I23" i="16"/>
  <c r="R341" i="14"/>
  <c r="R338" i="14"/>
  <c r="P126" i="14"/>
  <c r="P332" i="14"/>
  <c r="D21" i="16"/>
  <c r="P333" i="14"/>
  <c r="R333" i="14" s="1"/>
  <c r="D22" i="16"/>
  <c r="F22" i="16" s="1"/>
  <c r="R22" i="16" s="1"/>
  <c r="R329" i="14"/>
  <c r="G362" i="14"/>
  <c r="H362" i="14" s="1"/>
  <c r="G367" i="14"/>
  <c r="H367" i="14" s="1"/>
  <c r="G355" i="14"/>
  <c r="G364" i="14"/>
  <c r="H364" i="14" s="1"/>
  <c r="F30" i="16"/>
  <c r="R30" i="16" s="1"/>
  <c r="F18" i="16"/>
  <c r="R18" i="16" s="1"/>
  <c r="J27" i="16" l="1"/>
  <c r="R27" i="16"/>
  <c r="R357" i="14"/>
  <c r="N357" i="14"/>
  <c r="H355" i="14"/>
  <c r="L27" i="16"/>
  <c r="H27" i="16"/>
  <c r="M27" i="16"/>
  <c r="K27" i="16"/>
  <c r="G358" i="14"/>
  <c r="H358" i="14" s="1"/>
  <c r="F21" i="16"/>
  <c r="M18" i="16"/>
  <c r="H18" i="16"/>
  <c r="M22" i="16"/>
  <c r="H22" i="16"/>
  <c r="M30" i="16"/>
  <c r="H30" i="16"/>
  <c r="K18" i="16"/>
  <c r="L18" i="16"/>
  <c r="K22" i="16"/>
  <c r="L22" i="16"/>
  <c r="K30" i="16"/>
  <c r="L30" i="16"/>
  <c r="I362" i="14"/>
  <c r="N362" i="14" s="1"/>
  <c r="X23" i="16"/>
  <c r="P362" i="14" s="1"/>
  <c r="S127" i="14"/>
  <c r="P127" i="14"/>
  <c r="P128" i="14" s="1"/>
  <c r="I344" i="14"/>
  <c r="I347" i="14" s="1"/>
  <c r="J30" i="16"/>
  <c r="I30" i="16"/>
  <c r="J18" i="16"/>
  <c r="I18" i="16"/>
  <c r="J22" i="16"/>
  <c r="I22" i="16"/>
  <c r="R332" i="14"/>
  <c r="J21" i="16" l="1"/>
  <c r="R21" i="16"/>
  <c r="L21" i="16"/>
  <c r="H21" i="16"/>
  <c r="X27" i="16"/>
  <c r="P364" i="14" s="1"/>
  <c r="M21" i="16"/>
  <c r="I364" i="14"/>
  <c r="K21" i="16"/>
  <c r="I21" i="16"/>
  <c r="M406" i="14"/>
  <c r="S406" i="14" s="1"/>
  <c r="X30" i="16"/>
  <c r="P367" i="14" s="1"/>
  <c r="X22" i="16"/>
  <c r="M400" i="14" s="1"/>
  <c r="S400" i="14" s="1"/>
  <c r="E370" i="14"/>
  <c r="E373" i="14" s="1"/>
  <c r="I355" i="14"/>
  <c r="I367" i="14"/>
  <c r="X18" i="16"/>
  <c r="I359" i="14"/>
  <c r="N359" i="14" s="1"/>
  <c r="D33" i="16"/>
  <c r="P344" i="14"/>
  <c r="P347" i="14" s="1"/>
  <c r="R362" i="14"/>
  <c r="R309" i="14"/>
  <c r="I337" i="14" s="1"/>
  <c r="B12" i="22" l="1"/>
  <c r="R364" i="14"/>
  <c r="C5" i="18"/>
  <c r="I358" i="14"/>
  <c r="N364" i="14"/>
  <c r="X21" i="16"/>
  <c r="M399" i="14" s="1"/>
  <c r="S399" i="14" s="1"/>
  <c r="N367" i="14"/>
  <c r="N355" i="14"/>
  <c r="F33" i="16"/>
  <c r="U397" i="14"/>
  <c r="U405" i="14" s="1"/>
  <c r="M401" i="14"/>
  <c r="S401" i="14" s="1"/>
  <c r="P359" i="14"/>
  <c r="R359" i="14" s="1"/>
  <c r="R344" i="14"/>
  <c r="R347" i="14" s="1"/>
  <c r="G370" i="14"/>
  <c r="G373" i="14" s="1"/>
  <c r="P355" i="14"/>
  <c r="V397" i="14"/>
  <c r="V401" i="14" s="1"/>
  <c r="R367" i="14"/>
  <c r="S309" i="14"/>
  <c r="R316" i="14"/>
  <c r="D29" i="16"/>
  <c r="E366" i="14"/>
  <c r="P340" i="14"/>
  <c r="C3" i="22" l="1"/>
  <c r="J33" i="16"/>
  <c r="R33" i="16"/>
  <c r="N358" i="14"/>
  <c r="L33" i="16"/>
  <c r="H33" i="16"/>
  <c r="M33" i="16"/>
  <c r="M398" i="14"/>
  <c r="D35" i="4" s="1"/>
  <c r="G35" i="4" s="1"/>
  <c r="P358" i="14"/>
  <c r="K33" i="16"/>
  <c r="I33" i="16"/>
  <c r="F29" i="16"/>
  <c r="U401" i="14"/>
  <c r="U407" i="14"/>
  <c r="U398" i="14"/>
  <c r="U399" i="14"/>
  <c r="U403" i="14"/>
  <c r="U406" i="14"/>
  <c r="U404" i="14"/>
  <c r="U402" i="14"/>
  <c r="U400" i="14"/>
  <c r="I346" i="14"/>
  <c r="I349" i="14" s="1"/>
  <c r="H370" i="14"/>
  <c r="H373" i="14" s="1"/>
  <c r="R355" i="14"/>
  <c r="V400" i="14"/>
  <c r="V407" i="14"/>
  <c r="V405" i="14"/>
  <c r="V406" i="14"/>
  <c r="V398" i="14"/>
  <c r="V404" i="14"/>
  <c r="V399" i="14"/>
  <c r="V403" i="14"/>
  <c r="V402" i="14"/>
  <c r="R340" i="14"/>
  <c r="S316" i="14"/>
  <c r="G366" i="14"/>
  <c r="H366" i="14" s="1"/>
  <c r="P316" i="14"/>
  <c r="P317" i="14" s="1"/>
  <c r="D26" i="16"/>
  <c r="P337" i="14"/>
  <c r="E363" i="14"/>
  <c r="R358" i="14" l="1"/>
  <c r="J29" i="16"/>
  <c r="R29" i="16"/>
  <c r="L29" i="16"/>
  <c r="H29" i="16"/>
  <c r="M29" i="16"/>
  <c r="I47" i="4"/>
  <c r="K29" i="16"/>
  <c r="S398" i="14"/>
  <c r="D41" i="4"/>
  <c r="G41" i="4" s="1"/>
  <c r="X33" i="16"/>
  <c r="P370" i="14" s="1"/>
  <c r="P373" i="14" s="1"/>
  <c r="I370" i="14"/>
  <c r="I373" i="14" s="1"/>
  <c r="I29" i="16"/>
  <c r="E372" i="14"/>
  <c r="P346" i="14"/>
  <c r="P349" i="14" s="1"/>
  <c r="D35" i="16"/>
  <c r="R337" i="14"/>
  <c r="G363" i="14"/>
  <c r="F26" i="16"/>
  <c r="R26" i="16" s="1"/>
  <c r="E375" i="14" l="1"/>
  <c r="E354" i="14" s="1"/>
  <c r="X29" i="16"/>
  <c r="T397" i="14" s="1"/>
  <c r="T402" i="14" s="1"/>
  <c r="I26" i="4"/>
  <c r="D47" i="4" s="1"/>
  <c r="G47" i="4" s="1"/>
  <c r="N370" i="14"/>
  <c r="N373" i="14" s="1"/>
  <c r="R370" i="14"/>
  <c r="R373" i="14" s="1"/>
  <c r="I366" i="14"/>
  <c r="P328" i="14"/>
  <c r="H26" i="16"/>
  <c r="F35" i="16"/>
  <c r="L26" i="16"/>
  <c r="M26" i="16"/>
  <c r="I328" i="14"/>
  <c r="D17" i="16"/>
  <c r="J26" i="16"/>
  <c r="I26" i="16"/>
  <c r="R346" i="14"/>
  <c r="G372" i="14"/>
  <c r="H372" i="14" s="1"/>
  <c r="K26" i="16"/>
  <c r="H363" i="14"/>
  <c r="C4" i="18" l="1"/>
  <c r="C12" i="22"/>
  <c r="J35" i="16"/>
  <c r="R35" i="16"/>
  <c r="R17" i="16" s="1"/>
  <c r="G375" i="14"/>
  <c r="G354" i="14" s="1"/>
  <c r="R349" i="14"/>
  <c r="R328" i="14" s="1"/>
  <c r="I35" i="16"/>
  <c r="I17" i="16" s="1"/>
  <c r="L35" i="16"/>
  <c r="L17" i="16" s="1"/>
  <c r="H35" i="16"/>
  <c r="H17" i="16" s="1"/>
  <c r="P366" i="14"/>
  <c r="M35" i="16"/>
  <c r="M17" i="16" s="1"/>
  <c r="K35" i="16"/>
  <c r="N366" i="14"/>
  <c r="F17" i="16"/>
  <c r="J17" i="16"/>
  <c r="T353" i="14"/>
  <c r="S328" i="14"/>
  <c r="H375" i="14"/>
  <c r="T407" i="14"/>
  <c r="T403" i="14"/>
  <c r="T399" i="14"/>
  <c r="T398" i="14"/>
  <c r="T401" i="14"/>
  <c r="T406" i="14"/>
  <c r="T405" i="14"/>
  <c r="T400" i="14"/>
  <c r="T404" i="14"/>
  <c r="I363" i="14"/>
  <c r="X26" i="16"/>
  <c r="D12" i="22" l="1"/>
  <c r="H12" i="22"/>
  <c r="C3" i="18"/>
  <c r="R366" i="14"/>
  <c r="I372" i="14"/>
  <c r="C6" i="18" s="1"/>
  <c r="E15" i="21"/>
  <c r="E16" i="21"/>
  <c r="E14" i="21"/>
  <c r="H16" i="17"/>
  <c r="H20" i="17" s="1"/>
  <c r="H26" i="17" s="1"/>
  <c r="H41" i="17" s="1"/>
  <c r="F15" i="17"/>
  <c r="K17" i="16"/>
  <c r="X35" i="16"/>
  <c r="W397" i="14" s="1"/>
  <c r="T360" i="14"/>
  <c r="T366" i="14"/>
  <c r="E33" i="4" s="1"/>
  <c r="E75" i="4" s="1"/>
  <c r="T368" i="14"/>
  <c r="F51" i="4" s="1"/>
  <c r="G51" i="4" s="1"/>
  <c r="T365" i="14"/>
  <c r="E32" i="4" s="1"/>
  <c r="E74" i="4" s="1"/>
  <c r="T369" i="14"/>
  <c r="F52" i="4" s="1"/>
  <c r="G52" i="4" s="1"/>
  <c r="T357" i="14"/>
  <c r="F70" i="4" s="1"/>
  <c r="G70" i="4" s="1"/>
  <c r="T356" i="14"/>
  <c r="F69" i="4" s="1"/>
  <c r="G69" i="4" s="1"/>
  <c r="T361" i="14"/>
  <c r="T370" i="14"/>
  <c r="T371" i="14"/>
  <c r="T359" i="14"/>
  <c r="T362" i="14"/>
  <c r="T367" i="14"/>
  <c r="F50" i="4" s="1"/>
  <c r="G50" i="4" s="1"/>
  <c r="T358" i="14"/>
  <c r="T364" i="14"/>
  <c r="E31" i="4" s="1"/>
  <c r="E73" i="4" s="1"/>
  <c r="G15" i="17"/>
  <c r="F14" i="21" s="1"/>
  <c r="I15" i="17"/>
  <c r="T355" i="14"/>
  <c r="F68" i="4" s="1"/>
  <c r="G68" i="4" s="1"/>
  <c r="J15" i="17"/>
  <c r="H14" i="21" s="1"/>
  <c r="I16" i="17"/>
  <c r="I21" i="17" s="1"/>
  <c r="I27" i="17" s="1"/>
  <c r="I40" i="17" s="1"/>
  <c r="J16" i="17"/>
  <c r="H23" i="21" s="1"/>
  <c r="H25" i="21" s="1"/>
  <c r="H27" i="21" s="1"/>
  <c r="H28" i="21" s="1"/>
  <c r="F16" i="17"/>
  <c r="H15" i="17"/>
  <c r="G14" i="21" s="1"/>
  <c r="G16" i="17"/>
  <c r="G19" i="17" s="1"/>
  <c r="G25" i="17" s="1"/>
  <c r="G41" i="17" s="1"/>
  <c r="T363" i="14"/>
  <c r="P363" i="14"/>
  <c r="M407" i="14"/>
  <c r="N363" i="14"/>
  <c r="I12" i="22" l="1"/>
  <c r="I375" i="14"/>
  <c r="I354" i="14" s="1"/>
  <c r="E23" i="21"/>
  <c r="G23" i="21"/>
  <c r="F23" i="21"/>
  <c r="N372" i="14"/>
  <c r="N375" i="14" s="1"/>
  <c r="N354" i="14" s="1"/>
  <c r="P372" i="14"/>
  <c r="P375" i="14" s="1"/>
  <c r="P354" i="14" s="1"/>
  <c r="T372" i="14"/>
  <c r="T375" i="14" s="1"/>
  <c r="F15" i="20"/>
  <c r="F16" i="20" s="1"/>
  <c r="F18" i="20" s="1"/>
  <c r="F20" i="20" s="1"/>
  <c r="F22" i="20" s="1"/>
  <c r="I14" i="21"/>
  <c r="X17" i="16"/>
  <c r="D31" i="4"/>
  <c r="D73" i="4" s="1"/>
  <c r="H36" i="17"/>
  <c r="H31" i="17"/>
  <c r="G36" i="17"/>
  <c r="G31" i="17"/>
  <c r="I35" i="17"/>
  <c r="I36" i="17"/>
  <c r="H33" i="17"/>
  <c r="H35" i="17"/>
  <c r="G33" i="17"/>
  <c r="G35" i="17"/>
  <c r="I34" i="17"/>
  <c r="I33" i="17"/>
  <c r="H32" i="17"/>
  <c r="H34" i="17"/>
  <c r="G32" i="17"/>
  <c r="G34" i="17"/>
  <c r="J22" i="17"/>
  <c r="J28" i="17" s="1"/>
  <c r="J41" i="17" s="1"/>
  <c r="I31" i="17"/>
  <c r="I32" i="17"/>
  <c r="F71" i="4"/>
  <c r="T374" i="14"/>
  <c r="D32" i="4"/>
  <c r="D74" i="4" s="1"/>
  <c r="K15" i="17"/>
  <c r="L15" i="17" s="1"/>
  <c r="K16" i="17"/>
  <c r="L16" i="17" s="1"/>
  <c r="T373" i="14"/>
  <c r="W398" i="14"/>
  <c r="G398" i="14" s="1"/>
  <c r="W399" i="14"/>
  <c r="G399" i="14" s="1"/>
  <c r="P399" i="14" s="1"/>
  <c r="Q399" i="14" s="1"/>
  <c r="W400" i="14"/>
  <c r="G400" i="14" s="1"/>
  <c r="P400" i="14" s="1"/>
  <c r="Q400" i="14" s="1"/>
  <c r="W401" i="14"/>
  <c r="G401" i="14" s="1"/>
  <c r="P401" i="14" s="1"/>
  <c r="Q401" i="14" s="1"/>
  <c r="W405" i="14"/>
  <c r="G405" i="14" s="1"/>
  <c r="P405" i="14" s="1"/>
  <c r="Q405" i="14" s="1"/>
  <c r="W403" i="14"/>
  <c r="G403" i="14" s="1"/>
  <c r="W404" i="14"/>
  <c r="G404" i="14" s="1"/>
  <c r="W407" i="14"/>
  <c r="W402" i="14"/>
  <c r="G402" i="14" s="1"/>
  <c r="P402" i="14" s="1"/>
  <c r="Q402" i="14" s="1"/>
  <c r="W406" i="14"/>
  <c r="E30" i="4"/>
  <c r="E39" i="4" s="1"/>
  <c r="E45" i="4" s="1"/>
  <c r="E57" i="4" s="1"/>
  <c r="E63" i="4" s="1"/>
  <c r="E72" i="4" s="1"/>
  <c r="F59" i="4"/>
  <c r="F53" i="4" s="1"/>
  <c r="F60" i="4"/>
  <c r="F54" i="4" s="1"/>
  <c r="F61" i="4"/>
  <c r="I49" i="4"/>
  <c r="R363" i="14"/>
  <c r="D43" i="4"/>
  <c r="S407" i="14"/>
  <c r="D37" i="4"/>
  <c r="A12" i="22" l="1"/>
  <c r="E12" i="22" s="1"/>
  <c r="C4" i="22"/>
  <c r="C5" i="22" s="1"/>
  <c r="C6" i="22"/>
  <c r="F12" i="22"/>
  <c r="G12" i="22"/>
  <c r="L12" i="22"/>
  <c r="F23" i="20"/>
  <c r="F24" i="20" s="1"/>
  <c r="G25" i="21"/>
  <c r="F25" i="21"/>
  <c r="I23" i="21"/>
  <c r="T354" i="14"/>
  <c r="G77" i="4" s="1"/>
  <c r="R372" i="14"/>
  <c r="R375" i="14" s="1"/>
  <c r="R354" i="14" s="1"/>
  <c r="F55" i="4"/>
  <c r="J14" i="21"/>
  <c r="G71" i="4"/>
  <c r="G31" i="4"/>
  <c r="J36" i="17"/>
  <c r="J31" i="17"/>
  <c r="J33" i="17"/>
  <c r="J35" i="17"/>
  <c r="J32" i="17"/>
  <c r="J34" i="17"/>
  <c r="G407" i="14"/>
  <c r="P407" i="14" s="1"/>
  <c r="Q407" i="14" s="1"/>
  <c r="G32" i="4"/>
  <c r="G406" i="14"/>
  <c r="P406" i="14" s="1"/>
  <c r="Q406" i="14" s="1"/>
  <c r="P398" i="14"/>
  <c r="Q398" i="14" s="1"/>
  <c r="G60" i="4"/>
  <c r="G59" i="4"/>
  <c r="F62" i="4"/>
  <c r="G62" i="4" s="1"/>
  <c r="G61" i="4"/>
  <c r="D38" i="4"/>
  <c r="G38" i="4" s="1"/>
  <c r="G37" i="4"/>
  <c r="I28" i="4"/>
  <c r="D49" i="4" s="1"/>
  <c r="D33" i="4" s="1"/>
  <c r="G43" i="4"/>
  <c r="D44" i="4"/>
  <c r="G44" i="4" s="1"/>
  <c r="K12" i="22" l="1"/>
  <c r="J12" i="22"/>
  <c r="G27" i="21"/>
  <c r="G28" i="21" s="1"/>
  <c r="F27" i="21"/>
  <c r="F28" i="21" s="1"/>
  <c r="I25" i="21"/>
  <c r="I27" i="21" s="1"/>
  <c r="I28" i="21" s="1"/>
  <c r="J23" i="21"/>
  <c r="F74" i="4"/>
  <c r="G74" i="4" s="1"/>
  <c r="G54" i="4"/>
  <c r="F75" i="4"/>
  <c r="G55" i="4"/>
  <c r="F56" i="4"/>
  <c r="F57" i="4" s="1"/>
  <c r="F63" i="4" s="1"/>
  <c r="F72" i="4" s="1"/>
  <c r="G53" i="4"/>
  <c r="F73" i="4"/>
  <c r="G73" i="4" s="1"/>
  <c r="G49" i="4"/>
  <c r="D56" i="4"/>
  <c r="G56" i="4" l="1"/>
  <c r="D75" i="4"/>
  <c r="G75" i="4" s="1"/>
  <c r="D30" i="4"/>
  <c r="D39" i="4" s="1"/>
  <c r="G33" i="4"/>
  <c r="G30" i="4" s="1"/>
  <c r="D45" i="4" l="1"/>
  <c r="G39" i="4"/>
  <c r="G45" i="4" l="1"/>
  <c r="D57" i="4"/>
  <c r="G57" i="4" l="1"/>
  <c r="D63" i="4"/>
  <c r="D72" i="4" l="1"/>
  <c r="G63" i="4"/>
  <c r="G72" i="4" l="1"/>
  <c r="D77" i="4" l="1"/>
  <c r="D78" i="4" s="1"/>
  <c r="F77" i="4"/>
  <c r="F78" i="4" s="1"/>
  <c r="E77" i="4"/>
  <c r="E78" i="4" s="1"/>
  <c r="F82" i="4" l="1"/>
  <c r="F83" i="4" s="1"/>
  <c r="E82" i="4"/>
  <c r="E83" i="4" s="1"/>
  <c r="C7" i="18"/>
  <c r="C8" i="18" s="1"/>
  <c r="C9" i="18" s="1"/>
  <c r="D82" i="4"/>
  <c r="G78" i="4"/>
  <c r="G82" i="4" l="1"/>
  <c r="D83" i="4"/>
  <c r="G83" i="4" s="1"/>
  <c r="B6" i="4" l="1"/>
  <c r="A64" i="14"/>
  <c r="A24" i="14"/>
  <c r="A25" i="14" l="1"/>
  <c r="A26" i="14" s="1"/>
  <c r="A27" i="14" s="1"/>
  <c r="A28" i="14" l="1"/>
  <c r="A50" i="14"/>
  <c r="A61" i="14" l="1"/>
  <c r="A62" i="14" s="1"/>
  <c r="A63" i="14" l="1"/>
  <c r="A69" i="14" s="1"/>
  <c r="A70" i="14" l="1"/>
  <c r="A71" i="14" l="1"/>
  <c r="A72" i="14" l="1"/>
  <c r="A73" i="14"/>
  <c r="A76" i="14" l="1"/>
  <c r="A77" i="14" s="1"/>
  <c r="D24" i="17" l="1"/>
  <c r="E24" i="17" s="1"/>
  <c r="F43" i="17"/>
  <c r="K43" i="17" s="1"/>
  <c r="L43" i="17" s="1"/>
  <c r="F44" i="17"/>
  <c r="K44" i="17" s="1"/>
  <c r="L44" i="17" s="1"/>
  <c r="F39" i="17"/>
  <c r="K39" i="17" s="1"/>
  <c r="L39" i="17" s="1"/>
  <c r="F45" i="17"/>
  <c r="K45" i="17" s="1"/>
  <c r="L45" i="17" s="1"/>
  <c r="F30" i="17"/>
  <c r="K30" i="17" s="1"/>
  <c r="L30" i="17" s="1"/>
  <c r="F40" i="17"/>
  <c r="K40" i="17" s="1"/>
  <c r="L40" i="17" s="1"/>
  <c r="F37" i="17"/>
  <c r="K37" i="17" s="1"/>
  <c r="L37" i="17" s="1"/>
  <c r="F42" i="17"/>
  <c r="K42" i="17" s="1"/>
  <c r="L42" i="17" s="1"/>
  <c r="F38" i="17"/>
  <c r="K38" i="17" s="1"/>
  <c r="L38" i="17" s="1"/>
  <c r="F46" i="17"/>
  <c r="K46" i="17" s="1"/>
  <c r="L46" i="17" s="1"/>
  <c r="F31" i="17"/>
  <c r="K31" i="17" s="1"/>
  <c r="F33" i="17"/>
  <c r="K33" i="17" s="1"/>
  <c r="L33" i="17" s="1"/>
  <c r="E18" i="17"/>
  <c r="F18" i="17" s="1"/>
  <c r="E11" i="17"/>
  <c r="A6" i="22" s="1"/>
  <c r="E24" i="21" l="1"/>
  <c r="E25" i="21" s="1"/>
  <c r="E26" i="21"/>
  <c r="F24" i="17"/>
  <c r="F36" i="17" s="1"/>
  <c r="K36" i="17" s="1"/>
  <c r="L36" i="17" s="1"/>
  <c r="L31" i="17"/>
  <c r="F34" i="17" l="1"/>
  <c r="K34" i="17" s="1"/>
  <c r="L34" i="17" s="1"/>
  <c r="F41" i="17"/>
  <c r="K41" i="17" s="1"/>
  <c r="E27" i="21"/>
  <c r="F35" i="17"/>
  <c r="K35" i="17" s="1"/>
  <c r="L35" i="17" s="1"/>
  <c r="F32" i="17"/>
  <c r="K32" i="17" s="1"/>
  <c r="L32" i="17" s="1"/>
  <c r="J25" i="21"/>
  <c r="L41" i="17" l="1"/>
  <c r="C7" i="22"/>
  <c r="C8" i="22" s="1"/>
  <c r="E28" i="21"/>
  <c r="J28" i="21" s="1"/>
  <c r="O12" i="22"/>
  <c r="J27" i="21"/>
  <c r="K47" i="17"/>
  <c r="L47" i="17" s="1"/>
</calcChain>
</file>

<file path=xl/comments1.xml><?xml version="1.0" encoding="utf-8"?>
<comments xmlns="http://schemas.openxmlformats.org/spreadsheetml/2006/main">
  <authors>
    <author>Alexander S.P.</author>
    <author>user</author>
    <author>Рудакова</author>
  </authors>
  <commentList>
    <comment ref="M11" authorId="0" shapeId="0">
      <text>
        <r>
          <rPr>
            <sz val="9"/>
            <color indexed="81"/>
            <rFont val="Tahoma"/>
            <family val="2"/>
            <charset val="204"/>
          </rPr>
          <t>Региональный коэф</t>
        </r>
      </text>
    </comment>
    <comment ref="M12" authorId="0" shapeId="0">
      <text>
        <r>
          <rPr>
            <sz val="9"/>
            <color indexed="81"/>
            <rFont val="Tahoma"/>
            <family val="2"/>
            <charset val="204"/>
          </rPr>
          <t>Изм решений до/свыше 50 %</t>
        </r>
      </text>
    </comment>
    <comment ref="M13" authorId="0" shapeId="0">
      <text>
        <r>
          <rPr>
            <sz val="9"/>
            <color indexed="81"/>
            <rFont val="Tahoma"/>
            <family val="2"/>
            <charset val="204"/>
          </rPr>
          <t>Установка доп оборудования ПС/расширение ОРУ</t>
        </r>
      </text>
    </comment>
    <comment ref="A15" authorId="0" shapeId="0">
      <text>
        <r>
          <rPr>
            <sz val="9"/>
            <color indexed="81"/>
            <rFont val="Tahoma"/>
            <family val="2"/>
            <charset val="204"/>
          </rPr>
          <t>Номер строки проставляется автоматически</t>
        </r>
      </text>
    </comment>
    <comment ref="B15" authorId="0" shapeId="0">
      <text>
        <r>
          <rPr>
            <sz val="9"/>
            <color indexed="81"/>
            <rFont val="Tahoma"/>
            <family val="2"/>
            <charset val="204"/>
          </rPr>
          <t>Номер таблицы проставляется автоматически</t>
        </r>
      </text>
    </comment>
    <comment ref="C15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5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6" authorId="0" shapeId="0">
      <text>
        <r>
          <rPr>
            <sz val="9"/>
            <color indexed="81"/>
            <rFont val="Tahoma"/>
            <family val="2"/>
            <charset val="204"/>
          </rPr>
          <t>В горных условиях 1,043, 
в скальных грунтах 1,012, городская застройка 1,013,
на болотистных трассах 1,053,
в поймах рек, в распутицу 1,028.</t>
        </r>
      </text>
    </comment>
    <comment ref="F16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1,018</t>
        </r>
      </text>
    </comment>
    <comment ref="G16" authorId="0" shapeId="0">
      <text>
        <r>
          <rPr>
            <sz val="9"/>
            <color indexed="81"/>
            <rFont val="Tahoma"/>
            <family val="2"/>
            <charset val="204"/>
          </rPr>
          <t>при сейсмичности 7 баллов коэффициент 1,02;
8 баллов - 1,03;
9 баллов - 1,05</t>
        </r>
      </text>
    </comment>
    <comment ref="H16" authorId="0" shapeId="0">
      <text>
        <r>
          <rPr>
            <sz val="9"/>
            <color indexed="81"/>
            <rFont val="Tahoma"/>
            <family val="2"/>
            <charset val="204"/>
          </rPr>
          <t>при скоростном напоре ветра 0,61-0,75 кПа коэффициент 1,003, более 0,75 кПа - 1,006</t>
        </r>
      </text>
    </comment>
    <comment ref="I16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6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56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6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69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0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2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3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C76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1 км линии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79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ВЛ 0,4-10 кВ поопорно</t>
        </r>
      </text>
    </comment>
    <comment ref="C82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ж/б опор  ВЛ
35-220 за 1 м3</t>
        </r>
      </text>
    </comment>
    <comment ref="C85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стальных опор  ВЛ 35-220 за 1 тонну</t>
        </r>
      </text>
    </comment>
    <comment ref="S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T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U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V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W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X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Y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Z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A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B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96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C130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30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31" authorId="0" shapeId="0">
      <text>
        <r>
          <rPr>
            <sz val="9"/>
            <color indexed="81"/>
            <rFont val="Tahoma"/>
            <family val="2"/>
            <charset val="204"/>
          </rPr>
          <t>В условиях городской застройки 1,022</t>
        </r>
      </text>
    </comment>
    <comment ref="F131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1,036</t>
        </r>
      </text>
    </comment>
    <comment ref="I131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31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175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</commentList>
</comments>
</file>

<file path=xl/comments2.xml><?xml version="1.0" encoding="utf-8"?>
<comments xmlns="http://schemas.openxmlformats.org/spreadsheetml/2006/main">
  <authors>
    <author>Alexander S.P.</author>
  </authors>
  <commentList>
    <comment ref="R9" authorId="0" shapeId="0">
      <text>
        <r>
          <rPr>
            <sz val="9"/>
            <color indexed="81"/>
            <rFont val="Tahoma"/>
            <family val="2"/>
            <charset val="204"/>
          </rPr>
          <t>к постоянной части ПС</t>
        </r>
      </text>
    </comment>
    <comment ref="R10" authorId="0" shapeId="0">
      <text>
        <r>
          <rPr>
            <sz val="9"/>
            <color indexed="81"/>
            <rFont val="Tahoma"/>
            <family val="2"/>
            <charset val="204"/>
          </rPr>
          <t>к постоянной части ПС</t>
        </r>
      </text>
    </comment>
  </commentList>
</comments>
</file>

<file path=xl/comments3.xml><?xml version="1.0" encoding="utf-8"?>
<comments xmlns="http://schemas.openxmlformats.org/spreadsheetml/2006/main">
  <authors>
    <author>Alexander S.P.</author>
    <author>pavlov</author>
    <author>Архипова Ольга Александровна</author>
  </authors>
  <commentList>
    <comment ref="C4" authorId="0" shapeId="0">
      <text>
        <r>
          <rPr>
            <b/>
            <sz val="9"/>
            <color indexed="81"/>
            <rFont val="Tahoma"/>
            <family val="2"/>
            <charset val="204"/>
          </rPr>
          <t>Межрегиональный сборник коэффициентов пересчета. М.:2006</t>
        </r>
      </text>
    </comment>
    <comment ref="N97" authorId="0" shapeId="0">
      <text>
        <r>
          <rPr>
            <b/>
            <sz val="9"/>
            <color indexed="81"/>
            <rFont val="Tahoma"/>
            <family val="2"/>
            <charset val="204"/>
          </rPr>
          <t>к 1.1.2001</t>
        </r>
      </text>
    </comment>
    <comment ref="O97" authorId="0" shapeId="0">
      <text>
        <r>
          <rPr>
            <b/>
            <sz val="9"/>
            <color indexed="81"/>
            <rFont val="Tahoma"/>
            <family val="2"/>
            <charset val="204"/>
          </rPr>
          <t>к 1.1.2001</t>
        </r>
      </text>
    </comment>
    <comment ref="F98" authorId="1" shapeId="0">
      <text>
        <r>
          <rPr>
            <b/>
            <sz val="8"/>
            <color indexed="81"/>
            <rFont val="Tahoma"/>
            <family val="2"/>
            <charset val="204"/>
          </rPr>
          <t>Электроэнергетика</t>
        </r>
      </text>
    </comment>
    <comment ref="J98" authorId="1" shapeId="0">
      <text>
        <r>
          <rPr>
            <b/>
            <sz val="8"/>
            <color indexed="81"/>
            <rFont val="Tahoma"/>
            <family val="2"/>
            <charset val="204"/>
          </rPr>
          <t>Электроэнергетика</t>
        </r>
      </text>
    </comment>
    <comment ref="M98" authorId="2" shapeId="0">
      <text>
        <r>
          <rPr>
            <b/>
            <sz val="9"/>
            <color indexed="81"/>
            <rFont val="Tahoma"/>
            <family val="2"/>
            <charset val="204"/>
          </rPr>
          <t>на товары и услуги</t>
        </r>
      </text>
    </comment>
    <comment ref="F100" authorId="0" shapeId="0">
      <text>
        <r>
          <rPr>
            <b/>
            <sz val="9"/>
            <color indexed="81"/>
            <rFont val="Tahoma"/>
            <family val="2"/>
            <charset val="204"/>
          </rPr>
          <t>линейная интерполяция ЭФ</t>
        </r>
      </text>
    </comment>
    <comment ref="J100" authorId="0" shapeId="0">
      <text>
        <r>
          <rPr>
            <b/>
            <sz val="9"/>
            <color indexed="81"/>
            <rFont val="Tahoma"/>
            <family val="2"/>
            <charset val="204"/>
          </rPr>
          <t>линейная интерполяция ЭФ</t>
        </r>
      </text>
    </comment>
  </commentList>
</comments>
</file>

<file path=xl/sharedStrings.xml><?xml version="1.0" encoding="utf-8"?>
<sst xmlns="http://schemas.openxmlformats.org/spreadsheetml/2006/main" count="2903" uniqueCount="1459">
  <si>
    <t>Регион</t>
  </si>
  <si>
    <t>нет</t>
  </si>
  <si>
    <t>Индекс</t>
  </si>
  <si>
    <t>Росстат</t>
  </si>
  <si>
    <t>Оборудование</t>
  </si>
  <si>
    <t>Прочие затраты</t>
  </si>
  <si>
    <t>Изыскания</t>
  </si>
  <si>
    <t>(наименование стройки)</t>
  </si>
  <si>
    <t>Наименование глав, объектов, работ и затрат</t>
  </si>
  <si>
    <t>оборудования, мебели, инвентаря</t>
  </si>
  <si>
    <t>прочих затрат</t>
  </si>
  <si>
    <t>Глава 1. Подготовка территории строительства</t>
  </si>
  <si>
    <t>Глава 2. Основные объекты строительства</t>
  </si>
  <si>
    <t>Обоснование</t>
  </si>
  <si>
    <t>№   пп</t>
  </si>
  <si>
    <t>Итого по главе 7</t>
  </si>
  <si>
    <t>Итого по главам 1-7</t>
  </si>
  <si>
    <t>Итого по главе 8</t>
  </si>
  <si>
    <t>Итого по главам 1-8</t>
  </si>
  <si>
    <t>Глава 8. Временные здания и сооружения</t>
  </si>
  <si>
    <t>Глава 9. Прочие работы и затраты</t>
  </si>
  <si>
    <t>Глава 10. Содержание службы технического заказчика. Строительный контроль</t>
  </si>
  <si>
    <t>Глава 11. Подготовка эксплуатационных кадров</t>
  </si>
  <si>
    <t>Итого по главе 10</t>
  </si>
  <si>
    <t>Глава 12. Проектные и изыскательские работы</t>
  </si>
  <si>
    <t>Итого по главе 12</t>
  </si>
  <si>
    <t>Итого по главам 1-12</t>
  </si>
  <si>
    <t>Налоги и обязательные платежи</t>
  </si>
  <si>
    <t>Налоговый кодекс</t>
  </si>
  <si>
    <t>НДС 18 %</t>
  </si>
  <si>
    <t>Итого с НДС</t>
  </si>
  <si>
    <t>I кв. 2000 г.</t>
  </si>
  <si>
    <t>II кв. 2000 г.</t>
  </si>
  <si>
    <t>III кв. 2000 г.</t>
  </si>
  <si>
    <t>IV кв. 2000 г.</t>
  </si>
  <si>
    <t>II кв. 2001 г.</t>
  </si>
  <si>
    <t>III кв. 2001 г.</t>
  </si>
  <si>
    <t>IV кв. 2001 г.</t>
  </si>
  <si>
    <t>I кв. 2001 г.</t>
  </si>
  <si>
    <t>II кв. 2002 г.</t>
  </si>
  <si>
    <t>III кв. 2002 г.</t>
  </si>
  <si>
    <t>IV кв. 2002 г.</t>
  </si>
  <si>
    <t>I кв. 2002 г.</t>
  </si>
  <si>
    <t>II кв. 2003 г.</t>
  </si>
  <si>
    <t>III кв. 2003 г.</t>
  </si>
  <si>
    <t>IV кв. 2003 г.</t>
  </si>
  <si>
    <t>I кв. 2003 г.</t>
  </si>
  <si>
    <t>I кв. 2004 г.</t>
  </si>
  <si>
    <t>II кв. 2004 г.</t>
  </si>
  <si>
    <t>III кв. 2004 г.</t>
  </si>
  <si>
    <t>IV кв. 2004 г.</t>
  </si>
  <si>
    <t>I кв. 2005 г.</t>
  </si>
  <si>
    <t>II кв. 2005 г.</t>
  </si>
  <si>
    <t>III кв. 2005 г.</t>
  </si>
  <si>
    <t>IV кв. 2005 г.</t>
  </si>
  <si>
    <t>I кв. 2006 г.</t>
  </si>
  <si>
    <t>II кв. 2006 г.</t>
  </si>
  <si>
    <t>III кв. 2006 г.</t>
  </si>
  <si>
    <t>IV кв. 2006 г.</t>
  </si>
  <si>
    <t>I кв. 2007 г.</t>
  </si>
  <si>
    <t>II кв. 2007 г.</t>
  </si>
  <si>
    <t>III кв. 2007 г.</t>
  </si>
  <si>
    <t>IV кв. 2007 г.</t>
  </si>
  <si>
    <t>I кв. 2008 г.</t>
  </si>
  <si>
    <t>II кв. 2008 г.</t>
  </si>
  <si>
    <t>III кв. 2008 г.</t>
  </si>
  <si>
    <t>IV кв. 2008 г.</t>
  </si>
  <si>
    <t>I кв. 2009 г.</t>
  </si>
  <si>
    <t>II кв. 2009 г.</t>
  </si>
  <si>
    <t>III кв. 2009 г.</t>
  </si>
  <si>
    <t>IV кв. 2009 г.</t>
  </si>
  <si>
    <t>I кв. 2010 г.</t>
  </si>
  <si>
    <t>II кв. 2010 г.</t>
  </si>
  <si>
    <t>III кв. 2010 г.</t>
  </si>
  <si>
    <t>IV кв. 2010 г.</t>
  </si>
  <si>
    <t>I кв. 2011 г.</t>
  </si>
  <si>
    <t>II кв. 2011 г.</t>
  </si>
  <si>
    <t>III кв. 2011 г.</t>
  </si>
  <si>
    <t>IV кв. 2011 г.</t>
  </si>
  <si>
    <t>I кв. 2012 г.</t>
  </si>
  <si>
    <t>II кв. 2012 г.</t>
  </si>
  <si>
    <t>III кв. 2012 г.</t>
  </si>
  <si>
    <t>IV кв. 2012 г.</t>
  </si>
  <si>
    <t>I кв. 2013 г.</t>
  </si>
  <si>
    <t>II кв. 2013 г.</t>
  </si>
  <si>
    <t>III кв. 2013 г.</t>
  </si>
  <si>
    <t>IV кв. 2013 г.</t>
  </si>
  <si>
    <t>I кв. 2014 г.</t>
  </si>
  <si>
    <t>II кв. 2014 г.</t>
  </si>
  <si>
    <t>III кв. 2014 г.</t>
  </si>
  <si>
    <t>IV кв. 2014 г.</t>
  </si>
  <si>
    <t>I кв. 2015 г.</t>
  </si>
  <si>
    <t>II кв. 2015 г.</t>
  </si>
  <si>
    <t>III кв. 2015 г.</t>
  </si>
  <si>
    <t>IV кв. 2015 г.</t>
  </si>
  <si>
    <t>I кв. 2016 г.</t>
  </si>
  <si>
    <t>II кв. 2016 г.</t>
  </si>
  <si>
    <t>III кв. 2016 г.</t>
  </si>
  <si>
    <t>IV кв. 2016 г.</t>
  </si>
  <si>
    <t>I кв. 2017 г.</t>
  </si>
  <si>
    <t>II кв. 2017 г.</t>
  </si>
  <si>
    <t>III кв. 2017 г.</t>
  </si>
  <si>
    <t>IV кв. 2017 г.</t>
  </si>
  <si>
    <t>I кв. 2018 г.</t>
  </si>
  <si>
    <t>II кв. 2018 г.</t>
  </si>
  <si>
    <t>III кв. 2018 г.</t>
  </si>
  <si>
    <t>IV кв. 2018 г.</t>
  </si>
  <si>
    <t>I кв. 2019 г.</t>
  </si>
  <si>
    <t>II кв. 2019 г.</t>
  </si>
  <si>
    <t>III кв. 2019 г.</t>
  </si>
  <si>
    <t>IV кв. 2019 г.</t>
  </si>
  <si>
    <t>I кв. 2020 г.</t>
  </si>
  <si>
    <t>II кв. 2020 г.</t>
  </si>
  <si>
    <t>III кв. 2020 г.</t>
  </si>
  <si>
    <t>IV кв. 2020 г.</t>
  </si>
  <si>
    <t>расчет</t>
  </si>
  <si>
    <t>Глава 5. Объекты транспортного хозяйства и связи</t>
  </si>
  <si>
    <t>Глава 6. Наружные сети и сооружения водоснабжени, канализации, теплоснабжения и газоснабжения</t>
  </si>
  <si>
    <t>Глава 7. Благоустройство и озеленение территории</t>
  </si>
  <si>
    <t>тыс. руб.</t>
  </si>
  <si>
    <t>'___''____________ 20___ г.</t>
  </si>
  <si>
    <t>Вологодская область</t>
  </si>
  <si>
    <t>Мурманская область</t>
  </si>
  <si>
    <t>г. Санкт-Петербург</t>
  </si>
  <si>
    <t>Новгородская область</t>
  </si>
  <si>
    <t>Калининградская область</t>
  </si>
  <si>
    <t>Брянская область</t>
  </si>
  <si>
    <t>Владимирская область</t>
  </si>
  <si>
    <t>Ивановская область</t>
  </si>
  <si>
    <t>Калужская область</t>
  </si>
  <si>
    <t>Костромская область</t>
  </si>
  <si>
    <t>Московская область</t>
  </si>
  <si>
    <t>Орловская область</t>
  </si>
  <si>
    <t>Смоленская область</t>
  </si>
  <si>
    <t>Тверская область</t>
  </si>
  <si>
    <t>Ярославская область</t>
  </si>
  <si>
    <t>Республика Марий Эл</t>
  </si>
  <si>
    <t>Республика Мордовия</t>
  </si>
  <si>
    <t>Нижегородская область</t>
  </si>
  <si>
    <t>Белгородская область</t>
  </si>
  <si>
    <t>Воронежская область</t>
  </si>
  <si>
    <t>Курская область</t>
  </si>
  <si>
    <t>Липецкая область</t>
  </si>
  <si>
    <t>Тамбовская область</t>
  </si>
  <si>
    <t>Республика Калмыкия</t>
  </si>
  <si>
    <t>Республика Татарстан</t>
  </si>
  <si>
    <t>Астраханская область</t>
  </si>
  <si>
    <t>Волгоградская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</si>
  <si>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</si>
  <si>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</si>
  <si>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</si>
  <si>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</si>
  <si>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Республика Адыгея</t>
  </si>
  <si>
    <t>Карачаево-Черкесская Республика</t>
  </si>
  <si>
    <t>Чеченская Республика</t>
  </si>
  <si>
    <t>Республика Ингушетия</t>
  </si>
  <si>
    <t>Краснодарский край</t>
  </si>
  <si>
    <t>Ставропольский край</t>
  </si>
  <si>
    <t>Ростовская область</t>
  </si>
  <si>
    <t>Республика Башкортостан</t>
  </si>
  <si>
    <t>Удмуртская Республика</t>
  </si>
  <si>
    <t>Курганская область</t>
  </si>
  <si>
    <t>Оренбургская область</t>
  </si>
  <si>
    <t>Свердловская область</t>
  </si>
  <si>
    <t>Челябинская область</t>
  </si>
  <si>
    <t>Омская область</t>
  </si>
  <si>
    <t>Ханты-Мансийский а.о.(Югра)</t>
  </si>
  <si>
    <t>Республика Бурятия</t>
  </si>
  <si>
    <t>Республика Тыва</t>
  </si>
  <si>
    <t>Республика Хакасия</t>
  </si>
  <si>
    <t>Приморский край</t>
  </si>
  <si>
    <t>Магаданская область</t>
  </si>
  <si>
    <t>Еврейская а.о.</t>
  </si>
  <si>
    <t>МР</t>
  </si>
  <si>
    <t>ЗПР</t>
  </si>
  <si>
    <t>ЭММ</t>
  </si>
  <si>
    <t>СМР с НР и СП</t>
  </si>
  <si>
    <t>Пересчет ФЕР-&gt;ТЕР в базовом уровне 2000</t>
  </si>
  <si>
    <t>Камчатский край</t>
  </si>
  <si>
    <t>г. Москва</t>
  </si>
  <si>
    <t>Чукотский а. о.</t>
  </si>
  <si>
    <t>Республика Северная Осетия-Алания</t>
  </si>
  <si>
    <t>Регионы</t>
  </si>
  <si>
    <t>Письмо Минрегион</t>
  </si>
  <si>
    <t>СМР</t>
  </si>
  <si>
    <t>Индекс ФЕР</t>
  </si>
  <si>
    <t>X</t>
  </si>
  <si>
    <t>ПС</t>
  </si>
  <si>
    <t>Госстрой 03.12.2012 № 2836-ИП/12</t>
  </si>
  <si>
    <t>Минрегион 04.05.2012 № 10837-ИП/08</t>
  </si>
  <si>
    <t>Минрегион 03.09.2012 № 23167-АП/08</t>
  </si>
  <si>
    <t>Минрегион 28.01.2012 № 4122-ИП/08</t>
  </si>
  <si>
    <t>Снегоборьба</t>
  </si>
  <si>
    <t>Реконструкция</t>
  </si>
  <si>
    <t>Экспертиза</t>
  </si>
  <si>
    <t>В т.ч. Прочие затраты без ПНР, ПИР, экспертизы</t>
  </si>
  <si>
    <t>Сметная стоимость</t>
  </si>
  <si>
    <t>Общая сметная стоимость</t>
  </si>
  <si>
    <t>Трансформаторы</t>
  </si>
  <si>
    <t xml:space="preserve">Минрегион 25.02.2005       № 645-ВГ/70  </t>
  </si>
  <si>
    <t>Минрегион 27.05.2005 г. N 2585-МП/70</t>
  </si>
  <si>
    <t xml:space="preserve">Минрегион 25.07.2005 № 4079-ВА/70 </t>
  </si>
  <si>
    <t>Росстрой 10.11.2005   № СК-4713/02</t>
  </si>
  <si>
    <t>Росстрой 08.02.2006 г. N СК-426/02</t>
  </si>
  <si>
    <t>Росстрой 21.04.2006 г. N СК-1523/02</t>
  </si>
  <si>
    <t>Росстрой 10.07.2006г.   СК-2842/02</t>
  </si>
  <si>
    <t>Росстрой 12.10.2006   № СК-4312/02</t>
  </si>
  <si>
    <t>Росстрой 23.01.2007 г. N СК-185/02</t>
  </si>
  <si>
    <t>Росстрой 09.04.2007 г. N СК-1395/02</t>
  </si>
  <si>
    <t>Росстрой 24.07.2007 г. N ВК-2778/02</t>
  </si>
  <si>
    <t>Росстрой 10.10.2007 г. N СК-3752/02</t>
  </si>
  <si>
    <t>Росстрой 16.01.2008     № ВБ-82/02</t>
  </si>
  <si>
    <t>Росстрой 04.04.2008 № ВБ-1305-02</t>
  </si>
  <si>
    <t>Минрегион 09.07.2008 г. N 16568-СК/08</t>
  </si>
  <si>
    <t>Минрегион 14.10.2008 № 26064-СК/08</t>
  </si>
  <si>
    <t>Минрегион 12.02.2009 № 3652-СК/08</t>
  </si>
  <si>
    <t>Минрегион 09.04.2009 г. N 10217-СК/08</t>
  </si>
  <si>
    <t>Минрегион 13.07.2009 г. N 21713-СК/08</t>
  </si>
  <si>
    <t xml:space="preserve">Минрегион 13.10.2009 г. N 33498-СК/08 </t>
  </si>
  <si>
    <t>Минрегион 20.01.2010 г. N 1289-СК/08</t>
  </si>
  <si>
    <t>Минрегион 26.05.2010 г. N 22030-ВТ/08</t>
  </si>
  <si>
    <t>Минрегион 26.07.2010 г. N 28203-кк/08</t>
  </si>
  <si>
    <t>Минрегион 18.11.2010 № 39160-КК/08</t>
  </si>
  <si>
    <t>Минрегион 02.03.2011 № 4511-КК/08</t>
  </si>
  <si>
    <t>Минрегион 09.06.2011 № 15076-КК/08</t>
  </si>
  <si>
    <t>Минрегион 15.07.2011 № 18769-АП/08</t>
  </si>
  <si>
    <t>Минрегион 07.11.2011 № 30394-ИП/07</t>
  </si>
  <si>
    <t>Госстрой 20.04.2004 г. N СК-2419/10</t>
  </si>
  <si>
    <t>Госстрой 03.03.2004  № НК-1448/10</t>
  </si>
  <si>
    <t>инерполяция</t>
  </si>
  <si>
    <t>ТЭС</t>
  </si>
  <si>
    <t>Темп зона</t>
  </si>
  <si>
    <t>ЛЭП до 10 кВ</t>
  </si>
  <si>
    <t>ЛЭП св.35 кВ</t>
  </si>
  <si>
    <t>III</t>
  </si>
  <si>
    <t xml:space="preserve">IV </t>
  </si>
  <si>
    <t>IV</t>
  </si>
  <si>
    <t xml:space="preserve">V </t>
  </si>
  <si>
    <t xml:space="preserve"> IV</t>
  </si>
  <si>
    <t>I</t>
  </si>
  <si>
    <t xml:space="preserve">VI </t>
  </si>
  <si>
    <t>II</t>
  </si>
  <si>
    <t>V</t>
  </si>
  <si>
    <t>VI</t>
  </si>
  <si>
    <t>VII</t>
  </si>
  <si>
    <t>Зимнее удорожание, %/100</t>
  </si>
  <si>
    <t>Всего</t>
  </si>
  <si>
    <t>Минрегион 12.02.2013 № 1951-ВТ/10</t>
  </si>
  <si>
    <t>Минрегион 07.06.2013 № 9912-СД/10</t>
  </si>
  <si>
    <t>Минрегион 29.07.2013 № 13478-СД/10</t>
  </si>
  <si>
    <t>Минрегион 12.11.2013 № 21331-СД/10</t>
  </si>
  <si>
    <t>Квартал сметных цен</t>
  </si>
  <si>
    <t>Индекс Росстат</t>
  </si>
  <si>
    <t>ДЗО</t>
  </si>
  <si>
    <t>(наименование дочерней или зависимой организации)</t>
  </si>
  <si>
    <t>Согласован для включения в инвестиционную программу</t>
  </si>
  <si>
    <t>Проектирование</t>
  </si>
  <si>
    <t>базисные цены</t>
  </si>
  <si>
    <t>ОРИЕНТИРОВОЧНЫЙ СМЕТНЫЙ РАСЧЕТ СТОИМОСТИ СТРОИТЕЛЬСТВА</t>
  </si>
  <si>
    <t>ПНР</t>
  </si>
  <si>
    <t>Текущие цены</t>
  </si>
  <si>
    <t>Индексы к ФЕР-2001 СМР по прочим объектам</t>
  </si>
  <si>
    <t>Ненецкий национальный округ</t>
  </si>
  <si>
    <t>Пермский край</t>
  </si>
  <si>
    <t>Забайкальский край</t>
  </si>
  <si>
    <t>КС</t>
  </si>
  <si>
    <t>прирКС</t>
  </si>
  <si>
    <t>VIII</t>
  </si>
  <si>
    <t>IX</t>
  </si>
  <si>
    <t>XI</t>
  </si>
  <si>
    <t>XII</t>
  </si>
  <si>
    <t>XIII</t>
  </si>
  <si>
    <t>XIV</t>
  </si>
  <si>
    <t>XV</t>
  </si>
  <si>
    <t>XVI</t>
  </si>
  <si>
    <t>XVII</t>
  </si>
  <si>
    <t>XVIII</t>
  </si>
  <si>
    <t>XIX</t>
  </si>
  <si>
    <t>XX</t>
  </si>
  <si>
    <t>XXI</t>
  </si>
  <si>
    <t>XXII</t>
  </si>
  <si>
    <t>XXIII</t>
  </si>
  <si>
    <t>XXIV</t>
  </si>
  <si>
    <t>XXV</t>
  </si>
  <si>
    <t>XXVI</t>
  </si>
  <si>
    <t>XXVII</t>
  </si>
  <si>
    <t>XXVIII</t>
  </si>
  <si>
    <t>XXX</t>
  </si>
  <si>
    <t>XXIX</t>
  </si>
  <si>
    <t>Квартал</t>
  </si>
  <si>
    <t>Крайний Север</t>
  </si>
  <si>
    <t>Зона=</t>
  </si>
  <si>
    <t>Томская область</t>
  </si>
  <si>
    <t>Тульская область</t>
  </si>
  <si>
    <t>Псковская область</t>
  </si>
  <si>
    <t>Чувашская Республика</t>
  </si>
  <si>
    <t>Кировская область</t>
  </si>
  <si>
    <t>Временные здания и сооружения=</t>
  </si>
  <si>
    <t>Зона</t>
  </si>
  <si>
    <t>Индексы</t>
  </si>
  <si>
    <t>Индексы к ФЕР-2001 СМР по ВЛ до 10 кВ алюминиевые</t>
  </si>
  <si>
    <t>Индексы к ФЕР-2001 СМР по КЛ до 10 кВ медные</t>
  </si>
  <si>
    <t>Регионально-</t>
  </si>
  <si>
    <t>климатич.</t>
  </si>
  <si>
    <t>Демонтаж ВЛ</t>
  </si>
  <si>
    <t>Зоны регионов</t>
  </si>
  <si>
    <t>Колич.</t>
  </si>
  <si>
    <t>Минстрой 28.02.2014 № 3085-ЕС/08</t>
  </si>
  <si>
    <t>Минстрой</t>
  </si>
  <si>
    <t>Компенсаторы</t>
  </si>
  <si>
    <t>ВЛ</t>
  </si>
  <si>
    <t>ПИР</t>
  </si>
  <si>
    <t>Глава 3. Объекты вспомогательного и обслуживающего назначения</t>
  </si>
  <si>
    <t>Итого по главе 11 (учтено в прочих затратах)</t>
  </si>
  <si>
    <t>Индексы=</t>
  </si>
  <si>
    <t>НДС</t>
  </si>
  <si>
    <t>ГСН81-05-01-2001</t>
  </si>
  <si>
    <t>Итого по главам 1-9, 11</t>
  </si>
  <si>
    <t>Кабельные линии</t>
  </si>
  <si>
    <t>Напряжение</t>
  </si>
  <si>
    <t>Реконстр</t>
  </si>
  <si>
    <t>Республика Крым</t>
  </si>
  <si>
    <t>Севастополь</t>
  </si>
  <si>
    <t>Временные здания и сооружения</t>
  </si>
  <si>
    <t>Составляющие затрат</t>
  </si>
  <si>
    <t>№ пп</t>
  </si>
  <si>
    <t>Поправочные коэффициенты на:</t>
  </si>
  <si>
    <t>ветер</t>
  </si>
  <si>
    <t>Расчет затрат</t>
  </si>
  <si>
    <t>Ед. изм.</t>
  </si>
  <si>
    <t>Воздушные линии электропередачи</t>
  </si>
  <si>
    <t>Таблица</t>
  </si>
  <si>
    <t>Характеристика</t>
  </si>
  <si>
    <t>Стоимость</t>
  </si>
  <si>
    <t>Подвеска провода 0,4 кВ по существ. ж/б опорам 1 цепь СИП до 35 мм2</t>
  </si>
  <si>
    <t>Подвеска провода 0,4 кВ по существ. дерев. опорам 1 цепь СИП до 35 мм2</t>
  </si>
  <si>
    <t>Подвеска провода 0,4 кВ по существ. ж/б опорам 1 цепь СИП 50 мм2</t>
  </si>
  <si>
    <t>Подвеска провода 0,4 кВ по существ. дерев. опорам 1 цепь СИП 50 мм2</t>
  </si>
  <si>
    <t>Подвеска провода 0,4 кВ по существ. ж/б опорам 1 цепь СИП 70 мм2</t>
  </si>
  <si>
    <t>Подвеска провода 0,4 кВ по существ. дерев. опорам 1 цепь СИП 70 мм2</t>
  </si>
  <si>
    <t>ВЛ 0.4 кВ с установкой ж/б опор, совместной абонентской подвеской 2 цепей СИП 70 мм2 и подвеской освещения с ответвлениями и вводами сечением 16 мм2</t>
  </si>
  <si>
    <t>ВЛ 6-10 кВ с установкой ж/б опор и подвеской проводов АС 35 мм2</t>
  </si>
  <si>
    <t>ВЛ 6-10 кВ с установкой дерев. опор и подвеской проводов АС 35 мм2</t>
  </si>
  <si>
    <t>ВЛ 6-10 кВ с установкой ж/б опор и подвеской проводов АС 50 мм2</t>
  </si>
  <si>
    <t>ВЛ 6-10 кВ с установкой ж/б опор и подвеской проводов АС 70 мм2</t>
  </si>
  <si>
    <t>ВЛ 6-10 кВ с установкой ж/б опор и подвеской 2 цепей проводов АС 70 мм2</t>
  </si>
  <si>
    <t>ВЛ 6-10 кВ с установкой ж/б опор и подвеской проводов АС 95 мм2</t>
  </si>
  <si>
    <t>ВЛ 6-10 кВ с установкой ж/б опор и подвеской проводов СИП 50 мм2</t>
  </si>
  <si>
    <t>ВЛ 6-10 кВ с установкой многогр. опор и подвеской проводов СИП 70 мм2</t>
  </si>
  <si>
    <t>ВЛ 6-10 кВ с установкой ж/б опор и подвеской проводов СИП 70 мм2</t>
  </si>
  <si>
    <t>ВЛ 6-10 кВ с установкой ж/б опор и подвеской 2 цепей проводов СИП 70 мм2</t>
  </si>
  <si>
    <t>ВЛ 35 кВ с установкой стальных опор и подвеской проводов АС 95 мм2</t>
  </si>
  <si>
    <t>ВЛ 35 кВ с установкой стальных опор и подвеской 2 цепей проводов АС 95 мм2</t>
  </si>
  <si>
    <t>ВЛ 35 кВ с установкой стальных опор и подвеской проводов АС до 150 мм2</t>
  </si>
  <si>
    <t>ВЛ 35 кВ с установкой стальных опор и подвеской 2 цепей проводов АС до 150 мм2</t>
  </si>
  <si>
    <t>ВЛ 110 кВ с установкой стальных опор и подвеской проводов АС до 150 мм2</t>
  </si>
  <si>
    <t>ВЛ 110 кВ с установкой стальных опор и подвеской 2 цепей проводов АС до 150 мм2</t>
  </si>
  <si>
    <t>ВЛ 220 кВ с установкой стальных опор и подвеской проводов АС 300 мм2</t>
  </si>
  <si>
    <t>ВЛ 220 кВ с установкой стальных опор и подвеской 2 цепей проводов АС 300 мм2</t>
  </si>
  <si>
    <t>ВЛ 220 кВ с установкой стальных опор и подвеской проводов АС 400 мм2</t>
  </si>
  <si>
    <t>ВЛ 220 кВ с установкой стальных опор и подвеской 2 цепей проводов АС 400 мм2</t>
  </si>
  <si>
    <t>ВЛ 220 кВ с установкой стальных опор и подвеской 2 цепей проводов АС 500 мм2</t>
  </si>
  <si>
    <t>ВЛ 220 кВ с установкой ж/б двухстоечных опор и подвеской проводов АС 300 мм2</t>
  </si>
  <si>
    <t>ВЛ 220 кВ с установкой ж/б двухстоечных опор и подвеской 2 цепей проводов АС 300 мм2</t>
  </si>
  <si>
    <t>ВЛ 220 кВ с установкой ж/б двухстоечных опор и подвеской проводов АС 400 мм2</t>
  </si>
  <si>
    <t>ВЛ 220 кВ с установкой ж/б двухстоечных опор и подвеской 2 цепей проводов АС 400 мм2</t>
  </si>
  <si>
    <t>ВЛ 220 кВ с установкой стальных двухстоечных опор и подвеской 2 цепей проводов АС 400 мм2</t>
  </si>
  <si>
    <t>Затраты на вырубку просеки и устройство лежневых дорог</t>
  </si>
  <si>
    <t>Постоянный отвод земель ВЛ 220-330 кВ на стальных опорах</t>
  </si>
  <si>
    <t>Постоянный отвод земель ВЛ 220-330 кВ на ж/б опорах</t>
  </si>
  <si>
    <t>Постоянный отвод земель ВЛ 220-500 кВ на многогранных опорах</t>
  </si>
  <si>
    <t>Постоянный отвод земель ВЛ 500-750 кВ на стальных опорах</t>
  </si>
  <si>
    <t>Постоянный отвод земель ВЛ 500-750 кВ на стальных опорах с оттяжками</t>
  </si>
  <si>
    <t>Постоянный отвод земель ВЛ 500-750 кВ на ж/б опорах</t>
  </si>
  <si>
    <t>Затраты на вырубку просеки ВЛ 6-10 кВ</t>
  </si>
  <si>
    <t>Затраты на вырубку просеки ВЛ 35 кВ</t>
  </si>
  <si>
    <t>Затраты на вырубку просеки ВЛ 110 кВ</t>
  </si>
  <si>
    <t>Затраты на вырубку просеки ВЛ 220 кВ</t>
  </si>
  <si>
    <t>Подвеска кабеля ОКСН на существующих опорах ВЛ 35 кВ</t>
  </si>
  <si>
    <t>Подвеска кабеля ОКМС на существующих опорах ВЛ 110 кВ</t>
  </si>
  <si>
    <t>Подвеска 2 кабелей ОКМС на существующих опорах ВЛ 110 кВ</t>
  </si>
  <si>
    <t>Комплектные трансформаторные устройства</t>
  </si>
  <si>
    <t>КТП шкафного типа 1х40 кВА 6-10/0,4 кВ</t>
  </si>
  <si>
    <t>КТП киоскового типа 1х250 кВА 6-10/0,4 кВ</t>
  </si>
  <si>
    <t>КТП шкафного типа 1х63 кВА 6-10/0,4 кВ</t>
  </si>
  <si>
    <t>КТП шкафного типа 1х100 кВА 6-10/0,4 кВ</t>
  </si>
  <si>
    <t>КТП шкафного типа 1х160 кВА 6-10/0,4 кВ</t>
  </si>
  <si>
    <t>КТП киоскового типа 1х400 кВА 6-10/0,4 кВ</t>
  </si>
  <si>
    <t>КТП киоскового типа 1х630 кВА 6-10/0,4 кВ</t>
  </si>
  <si>
    <t>КТП киоскового типа 1х1000 кВА 6-10/0,4 кВ</t>
  </si>
  <si>
    <t>КТП киоскового типа 2х250 кВА 6-10/0,4 кВ</t>
  </si>
  <si>
    <t>КТП киоскового типа 2х400 кВА 6-10/0,4 кВ</t>
  </si>
  <si>
    <t>КТП киоскового типа 2х630 кВА 6-10/0,4 кВ</t>
  </si>
  <si>
    <t>БКТП блочного типа 2х630 кВА 6-10/0,4 кВ</t>
  </si>
  <si>
    <t>Комплектные трансформаторные устройства на 6-10/0,4 кВ</t>
  </si>
  <si>
    <t>Реклоузеры на 6-10 кВ</t>
  </si>
  <si>
    <t>И.</t>
  </si>
  <si>
    <t>Снижение при прокладке первой цепи</t>
  </si>
  <si>
    <t>Условия</t>
  </si>
  <si>
    <t>Коэффициент</t>
  </si>
  <si>
    <t>под напр</t>
  </si>
  <si>
    <t>все коэф.</t>
  </si>
  <si>
    <t>прил. 3</t>
  </si>
  <si>
    <t>%</t>
  </si>
  <si>
    <t>горн/скал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</si>
  <si>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</si>
  <si>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</si>
  <si>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</si>
  <si>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</si>
  <si>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</si>
  <si>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</si>
  <si>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Укрупненные показатели стоимости ВЛ 0,4-220 кВ, т.р. за 1 км</t>
  </si>
  <si>
    <t>ВЛ 0,4 кВ с установкой ж/б опор и проводами СИП до 35 мм2</t>
  </si>
  <si>
    <t>ВЛ 0.4 кВ с установкой ж/б опор, магистр. линией СИП 50 мм2, ответвлений и вводами сечением 16 мм2</t>
  </si>
  <si>
    <t>2</t>
  </si>
  <si>
    <t>ВЛ 0.4 кВ с установкой ж/б опор и проводами СИП 70 мм2</t>
  </si>
  <si>
    <t>ВЛ 35 кВ с установкой ж/б опор (анк.-угл. стальных) и подвеской 2 цепей проводов АС 95 мм2</t>
  </si>
  <si>
    <t>ВЛ 35 кВ с установкой ж/б опор (анк.-угл. стальных) и подвеской проводов АС 95 мм2</t>
  </si>
  <si>
    <t>ВЛ 35 кВ с установкой ж/б опор (анк.-угл. стальных) и подвеской проводов АС до 150 мм2</t>
  </si>
  <si>
    <t>ВЛ 35 кВ с установкой ж/б опор (анк.-угл. стальных) и подвеской 2 цепей проводов АС до 150 мм2</t>
  </si>
  <si>
    <t>ВЛ 35 кВ с установкой многогр. опор и подвеской 2 цепей проводов АС до 150 мм2</t>
  </si>
  <si>
    <t>ВЛ 110 кВ с установкой ж/б опор (анк.-угл. стальных) и подвеской проводов АС до 150 мм2</t>
  </si>
  <si>
    <t>ВЛ 110 кВ с установкой ж/б опор (анк.-угл. стальных) и подвеской 2 цепей проводов АС до 150 мм2</t>
  </si>
  <si>
    <t>ВЛ 110 кВ с установкой стальных опор и подвеской проводов АС 185-240 мм2</t>
  </si>
  <si>
    <t>ВЛ 110 кВ с установкой ж/б опор (анк.-угл. стальных) и подвеской проводов АС 185-240 мм2</t>
  </si>
  <si>
    <t>ВЛ 110 кВ с установкой стальных опор (анк.-угл. типовых) и подвеской проводов АС 185-240 мм2</t>
  </si>
  <si>
    <t>ВЛ 110 кВ с установкой стальных опор (анк.-угл. типовых) и подвеской 2 цепей проводов АС до 150 мм2</t>
  </si>
  <si>
    <t>Таблица норма-тива</t>
  </si>
  <si>
    <t>ВЛ 110 кВ с установкой многогр. опор и подвеской проводов АС 185-240 мм2</t>
  </si>
  <si>
    <t>ВЛ 110 кВ с установкой стальных опор и подвеской 2 цепей проводов АС 185-240 мм2</t>
  </si>
  <si>
    <t>ВЛ 110 кВ с установкой ж/б опор (анк.-угл. стальных) и подвеской 2 цепей проводов АС 185-240 мм2</t>
  </si>
  <si>
    <t>ВЛ 110 кВ с установкой многогр. опор и подвеской 2 цепей проводов АС 185-240 мм2</t>
  </si>
  <si>
    <t>ВЛ 110 кВ с установкой стальных опор и подвеской 2 цепей проводов ACCR Hawk 477-T16</t>
  </si>
  <si>
    <t>макс напр</t>
  </si>
  <si>
    <t>кВ</t>
  </si>
  <si>
    <t>п. 2.7</t>
  </si>
  <si>
    <t>т. 4</t>
  </si>
  <si>
    <t>Изменение констр. решений до 50 %</t>
  </si>
  <si>
    <t>Изменение констр. решений более 50 %</t>
  </si>
  <si>
    <t>1</t>
  </si>
  <si>
    <t>КЛ</t>
  </si>
  <si>
    <t>ТП</t>
  </si>
  <si>
    <t>Постоянный отвод земель ВЛ 0,4 кВ на деревянных опорах (40 шт./км)</t>
  </si>
  <si>
    <t>Постоянный отвод земель ВЛ 0,4 кВ на ж/б опорах (40 шт./км)</t>
  </si>
  <si>
    <t>2.2.1</t>
  </si>
  <si>
    <t>2.2.2</t>
  </si>
  <si>
    <t>Постоянный отвод земель ВЛ 6-10 кВ на деревянных опорах (20 шт./км)</t>
  </si>
  <si>
    <t>Постоянный отвод земель ВЛ 6-10 кВ на ж/б опорах (20 шт./км)</t>
  </si>
  <si>
    <t>Постоянный отвод земель ВЛ 35 кВ на деревянных опорах (8 шт./км)</t>
  </si>
  <si>
    <t>Постоянный отвод земель ВЛ 35 кВ на стальных опорах (8 шт./км)</t>
  </si>
  <si>
    <t>Постоянный отвод земель ВЛ 35 кВ на ж/б опорах (8 шт./км)</t>
  </si>
  <si>
    <t>Постоянный отвод земель ВЛ 110 кВ на стальных опорах (5 шт./км)</t>
  </si>
  <si>
    <t>Постоянный отвод земель ВЛ 110 кВ на ж/б опорах (5 шт./км)</t>
  </si>
  <si>
    <t>Постоянный отвод земель ВЛ 110 кВ на деревянных опорах (5 шт./км)</t>
  </si>
  <si>
    <t>2.2.3</t>
  </si>
  <si>
    <t>2.2.4</t>
  </si>
  <si>
    <t>Постоянный отвод земель ВЛ 220 кВ на стальных опорах (3 шт./км)</t>
  </si>
  <si>
    <t>2.2.5</t>
  </si>
  <si>
    <t>Постоянный отвод земель ВЛ 220 кВ на деревянных опорах (3 шт./км)</t>
  </si>
  <si>
    <t>Постоянный отвод земель ВЛ 220 кВ на железобетонных опорах (3 шт./км)</t>
  </si>
  <si>
    <t>Площадь постоянного отвода земли свободностоящих опор ВЛ, м2/км</t>
  </si>
  <si>
    <t>3</t>
  </si>
  <si>
    <t>Подвеска ВОЛС на существующих опорах ВЛ 35-220 кВ</t>
  </si>
  <si>
    <t>5</t>
  </si>
  <si>
    <t>Подвеска кабеля ОКГТ на существующих опорах ВЛ 220 кВ</t>
  </si>
  <si>
    <t>Подвеска кабеля ASLH-D(S)bb 1*24SMF на существующих опорах ВЛ 220 кВ</t>
  </si>
  <si>
    <t>6</t>
  </si>
  <si>
    <t>БКТП блочного типа 2х1000 кВА 6-10/0,4 кВ, панели "сэндвич"</t>
  </si>
  <si>
    <t>БКТП блочного типа 2х1250 кВА 6-10/0,4 кВ, ячейки RM6</t>
  </si>
  <si>
    <t>Региональный коэффициент</t>
  </si>
  <si>
    <t>В том числе:</t>
  </si>
  <si>
    <t>Филиал</t>
  </si>
  <si>
    <t>4</t>
  </si>
  <si>
    <t>Особые условия строительства</t>
  </si>
  <si>
    <t>прочие</t>
  </si>
  <si>
    <t>Ра-сц</t>
  </si>
  <si>
    <t>расценка</t>
  </si>
  <si>
    <t>Итого для базового района</t>
  </si>
  <si>
    <t>Итого основные затраты ВЛ в ценах 2000 г.</t>
  </si>
  <si>
    <t>Дополнительные затраты по ВЛ:</t>
  </si>
  <si>
    <t>Минстрой 15.05.2014 № 8367-ЕС/08</t>
  </si>
  <si>
    <t>Состав затрат</t>
  </si>
  <si>
    <t>Индексы к ФЕР-2001 Пусконаладочные работы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</si>
  <si>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</si>
  <si>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</si>
  <si>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</si>
  <si>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</si>
  <si>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</si>
  <si>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</si>
  <si>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</si>
  <si>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</si>
  <si>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</si>
  <si>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</si>
  <si>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</si>
  <si>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</si>
  <si>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</si>
  <si>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</si>
  <si>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</si>
  <si>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СМР по КЛ до 10 кВ</t>
  </si>
  <si>
    <t>Коэффициент директивного снижения</t>
  </si>
  <si>
    <t>Дефляторы МЭР по капвложениям</t>
  </si>
  <si>
    <t>Год окончания реализации инвестиционного проекта</t>
  </si>
  <si>
    <t>Стоимость в базовых ценах</t>
  </si>
  <si>
    <t>Стоимость, тыс. руб. без НДС, в уровне цен:</t>
  </si>
  <si>
    <t>без НДС</t>
  </si>
  <si>
    <t>с НДС</t>
  </si>
  <si>
    <t>в ценах IV кв. 2012 г.</t>
  </si>
  <si>
    <t>Ориентировочная стоимость, тыс. руб.</t>
  </si>
  <si>
    <t>КЛ 0,4 кВ без покрытия один кабель 16 мм2</t>
  </si>
  <si>
    <t>КЛ 0,4 кВ без покрытия один кабель 25 мм2</t>
  </si>
  <si>
    <t>КЛ 0,4 кВ без покрытия один кабель 35 мм2</t>
  </si>
  <si>
    <t>КЛ 0,4 кВ без покрытия один кабель 50 мм2</t>
  </si>
  <si>
    <t>КЛ 0,4 кВ без покрытия один кабель 70 мм2</t>
  </si>
  <si>
    <t>КЛ 0,4 кВ без покрытия один кабель 95мм2</t>
  </si>
  <si>
    <t>КЛ 0,4 кВ без покрытия один кабель 120 мм2</t>
  </si>
  <si>
    <t>КЛ 0,4 кВ без покрытия один кабель 150 мм2</t>
  </si>
  <si>
    <t>КЛ 0,4 кВ с покрытием кирпичом один кабель 16 мм2</t>
  </si>
  <si>
    <t>КЛ 0,4 кВ с покрытием кирпичом один кабель 25 мм2</t>
  </si>
  <si>
    <t>КЛ 0,4 кВ с покрытием кирпичом один кабель 35 мм2</t>
  </si>
  <si>
    <t>КЛ 0,4 кВ с покрытием кирпичом один кабель 50 мм2</t>
  </si>
  <si>
    <t>КЛ 0,4 кВ с покрытием кирпичом один кабель70 мм2</t>
  </si>
  <si>
    <t>КЛ 0,4 кВ с покрытием кирпичом один кабель 95 мм2</t>
  </si>
  <si>
    <t>КЛ 0,4 кВ с покрытием кирпичом один кабель 120 мм2</t>
  </si>
  <si>
    <t>КЛ 0,4 кВ с покрытием кирпичом один кабель 150 мм2</t>
  </si>
  <si>
    <t>КЛ 0,4 кВ в асбестоцементной трубе один кабель 16 мм2</t>
  </si>
  <si>
    <t>КЛ 0,4 кВ в асбестоцементной трубе один кабель 25 мм2</t>
  </si>
  <si>
    <t>КЛ 0,4 кВ в асбестоцементной трубе один кабель 35 мм2</t>
  </si>
  <si>
    <t>КЛ 0,4 кВ в асбестоцементной трубе один кабель 50 мм2</t>
  </si>
  <si>
    <t>КЛ 0,4 кВ в асбестоцементной трубе один кабель 95 мм2</t>
  </si>
  <si>
    <t>КЛ 0,4 кВ в асбестоцементной трубе один кабель 70 мм2</t>
  </si>
  <si>
    <t>КЛ 0,4 кВ в асбестоцементной трубе один кабель 120 мм2</t>
  </si>
  <si>
    <t>КЛ 0,4 кВ в асбестоцементной трубе один кабель 150 мм2</t>
  </si>
  <si>
    <t>КЛ 0,4 кВ без покрытия следующий кабель 16 мм2</t>
  </si>
  <si>
    <t>КЛ 0,4 кВ без покрытия следующий кабель 25 мм2</t>
  </si>
  <si>
    <t>КЛ 0,4 кВ без покрытия следующий кабель 35 мм2</t>
  </si>
  <si>
    <t>КЛ 0,4 кВ без покрытия следующий кабель 50 мм2</t>
  </si>
  <si>
    <t>КЛ 0,4 кВ без покрытия следующий кабель 70 мм2</t>
  </si>
  <si>
    <t>КЛ 0,4 кВ без покрытия следующий кабель 95мм2</t>
  </si>
  <si>
    <t>КЛ 0,4 кВ без покрытия следующий кабель 120 мм2</t>
  </si>
  <si>
    <t>КЛ 0,4 кВ без покрытия следующий кабель 150 мм2</t>
  </si>
  <si>
    <t>КЛ 0,4 кВ с покрытием кирпичом следующий кабель 16 мм2</t>
  </si>
  <si>
    <t>КЛ 0,4 кВ с покрытием кирпичом следующий кабель 25 мм2</t>
  </si>
  <si>
    <t>КЛ 0,4 кВ с покрытием кирпичом следующий кабель 35 мм2</t>
  </si>
  <si>
    <t>КЛ 0,4 кВ с покрытием кирпичом следующий кабель 50 мм2</t>
  </si>
  <si>
    <t>КЛ 0,4 кВ с покрытием кирпичом следующий кабель70 мм2</t>
  </si>
  <si>
    <t>КЛ 0,4 кВ с покрытием кирпичом следующий кабель 95 мм2</t>
  </si>
  <si>
    <t>КЛ 0,4 кВ с покрытием кирпичом следующий кабель 120 мм2</t>
  </si>
  <si>
    <t>КЛ 0,4 кВ с покрытием кирпичом следующий кабель 150 мм2</t>
  </si>
  <si>
    <t>КЛ 0,4 кВ в асбестоцементной трубе следующий кабель 16 мм2</t>
  </si>
  <si>
    <t>КЛ 0,4 кВ в асбестоцементной трубе следующий кабель 25 мм2</t>
  </si>
  <si>
    <t>КЛ 0,4 кВ в асбестоцементной трубе следующий кабель 35 мм2</t>
  </si>
  <si>
    <t>КЛ 0,4 кВ в асбестоцементной трубе следующий кабель 50 мм2</t>
  </si>
  <si>
    <t>КЛ 0,4 кВ в асбестоцементной трубе следующий кабель 70 мм2</t>
  </si>
  <si>
    <t>КЛ 0,4 кВ в асбестоцементной трубе следующий кабель 95 мм2</t>
  </si>
  <si>
    <t>КЛ 0,4 кВ в асбестоцементной трубе следующий кабель 120 мм2</t>
  </si>
  <si>
    <t>КЛ 0,4 кВ в асбестоцементной трубе следующий кабель 150 мм2</t>
  </si>
  <si>
    <t>КЛ 10 кВ один кабель АПвПг 3 (1х70/35)</t>
  </si>
  <si>
    <t>КЛ 10 кВ один кабель АПвПг 3 (1х95/35)</t>
  </si>
  <si>
    <t>КЛ 10 кВ один кабель АПвПг 3 (1х120/35)</t>
  </si>
  <si>
    <t>КЛ 10 кВ один кабель АПвПг 3 (1х150/35)</t>
  </si>
  <si>
    <t>КЛ 10 кВ один кабель АПвПг 3 (1х185/35)</t>
  </si>
  <si>
    <t>КЛ 10 кВ один кабель АПвПг 3 (1х240/35)</t>
  </si>
  <si>
    <t>КЛ 10 кВ один кабель АПвПг 3 (1х400/35)</t>
  </si>
  <si>
    <t>КЛ 10 кВ один кабель АПвПг 3 (1х500/35)</t>
  </si>
  <si>
    <t>КЛ 10 кВ два кабеля АПвПг 3 (1х70/35)</t>
  </si>
  <si>
    <t>КЛ 10 кВ два кабеля АПвПг 3 (1х95/35)</t>
  </si>
  <si>
    <t>КЛ 10 кВ два кабеля АПвПг 3 (1х120/35)</t>
  </si>
  <si>
    <t>КЛ 10 кВ два кабеля АПвПг 3 (1х150/35)</t>
  </si>
  <si>
    <t>КЛ 10 кВ два кабеля АПвПг 3 (1х185/35)</t>
  </si>
  <si>
    <t>КЛ 10 кВ два кабеля АПвПг 3 (1х240/35)</t>
  </si>
  <si>
    <t>КЛ 10 кВ два кабеля АПвПг 3 (1х400/35)</t>
  </si>
  <si>
    <t>КЛ 10 кВ два кабеля АПвПг 3 (1х500/35)</t>
  </si>
  <si>
    <t>КЛ 6-10 кВ один кабель ААБлУ, ААШвУ в траншее 50 мм2</t>
  </si>
  <si>
    <t>КЛ 6-10 кВ один кабель ААБлУ, ААШвУ в траншее 70-95 мм2</t>
  </si>
  <si>
    <t>КЛ 6-10 кВ один кабель ААБлУ, ААШвУ в траншее 120 мм2</t>
  </si>
  <si>
    <t>КЛ 6-10 кВ один кабель ААБлУ, ААШвУ в траншее 150 мм2</t>
  </si>
  <si>
    <t>КЛ 6-10 кВ один кабель ААБлУ, ААШвУ в траншее 185 мм2</t>
  </si>
  <si>
    <t>КЛ 6-10 кВ один кабель ААБлУ, ААШвУ в траншее 240 мм2</t>
  </si>
  <si>
    <t>КЛ 6-10 кВ один кабель АСБ в траншее 50 мм2</t>
  </si>
  <si>
    <t>КЛ 6-10 кВ один кабель АСБ в траншее 70-95 мм2</t>
  </si>
  <si>
    <t>КЛ 6-10 кВ один кабель АСБ в траншее 120 мм2</t>
  </si>
  <si>
    <t>КЛ 6-10 кВ один кабель АСБ в траншее 150 мм2</t>
  </si>
  <si>
    <t>КЛ 6-10 кВ один кабель АСБ в траншее 185 мм2</t>
  </si>
  <si>
    <t>КЛ 6-10 кВ один кабель АСБ в траншее 240 мм2</t>
  </si>
  <si>
    <t>КЛ 6-10 кВ два кабеля ААБлУ, ААШвУ в траншее 50 мм2</t>
  </si>
  <si>
    <t>КЛ 6-10 кВ два кабеля ААБлУ, ААШвУ в траншее 70-95 мм2</t>
  </si>
  <si>
    <t>КЛ 6-10 кВ два кабеля ААБлУ, ААШвУ в траншее 120 мм2</t>
  </si>
  <si>
    <t>КЛ 6-10 кВ два кабеля ААБлУ, ААШвУ в траншее 150 мм2</t>
  </si>
  <si>
    <t>КЛ 6-10 кВ два кабеля ААБлУ, ААШвУ в траншее 185 мм2</t>
  </si>
  <si>
    <t>КЛ 6-10 кВ два кабеля ААБлУ, ААШвУ в траншее 240 мм2</t>
  </si>
  <si>
    <t>КЛ 6-10 кВ два кабеля АСБ в траншее 50 мм2</t>
  </si>
  <si>
    <t>КЛ 6-10 кВ два кабеля АСБ в траншее 70-95 мм2</t>
  </si>
  <si>
    <t>КЛ 6-10 кВ два кабеля АСБ в траншее 120 мм2</t>
  </si>
  <si>
    <t>КЛ 6-10 кВ два кабеля АСБ в траншее 150 мм2</t>
  </si>
  <si>
    <t>КЛ 6-10 кВ два кабеля АСБ в траншее 185 мм2</t>
  </si>
  <si>
    <t>КЛ 6-10 кВ два кабеля АСБ в траншее 240 мм2</t>
  </si>
  <si>
    <t>КЛ 6-10 кВ последующий кабель ААБлУ, ААШвУ в траншее 50 мм2</t>
  </si>
  <si>
    <t>КЛ 6-10 кВ последующий кабель ААБлУ, ААШвУ в траншее 70-95 мм2</t>
  </si>
  <si>
    <t>КЛ 6-10 кВ последующий кабель ААБлУ, ААШвУ в траншее 120 мм2</t>
  </si>
  <si>
    <t>КЛ 6-10 кВ последующий кабель ААБлУ, ААШвУ в траншее 150 мм2</t>
  </si>
  <si>
    <t>КЛ 6-10 кВ последующий кабель ААБлУ, ААШвУ в траншее 185 мм2</t>
  </si>
  <si>
    <t>КЛ 6-10 кВ последующий кабель ААБлУ, ААШвУ в траншее 240 мм2</t>
  </si>
  <si>
    <t>КЛ 6-10 кВ последующий кабель АСБ в траншее 50 мм2</t>
  </si>
  <si>
    <t>КЛ 6-10 кВ последующий кабель АСБ в траншее 70-95 мм2</t>
  </si>
  <si>
    <t>КЛ 6-10 кВ последующий кабель АСБ в траншее 120 мм2</t>
  </si>
  <si>
    <t>КЛ 6-10 кВ последующий кабель АСБ в траншее 150 мм2</t>
  </si>
  <si>
    <t>КЛ 6-10 кВ последующий кабель АСБ в траншее 185 мм2</t>
  </si>
  <si>
    <t>КЛ 6-10 кВ последующий кабель АСБ в траншее 240 мм2</t>
  </si>
  <si>
    <t>КЛ 10 кВ последующий кабель АПвПг 3 (1х70/35)</t>
  </si>
  <si>
    <t>КЛ 10 кВ последующий кабель АПвПг 3 (1х95/35)</t>
  </si>
  <si>
    <t>КЛ 10 кВ последующий кабель АПвПг 3 (1х120/35)</t>
  </si>
  <si>
    <t>КЛ 10 кВ последующий кабель АПвПг 3 (1х150/35)</t>
  </si>
  <si>
    <t>КЛ 10 кВ последующий кабель АПвПг 3 (1х185/35)</t>
  </si>
  <si>
    <t>КЛ 10 кВ последующий кабель АПвПг 3 (1х240/35)</t>
  </si>
  <si>
    <t>КЛ 10 кВ последующий кабель АПвПг 3 (1х400/35)</t>
  </si>
  <si>
    <t>КЛ 10 кВ последующий кабель АПвПг 3 (1х500/35)</t>
  </si>
  <si>
    <t>КЛ 110 кВ один кабель АПвП2г 300 мм2</t>
  </si>
  <si>
    <t>КЛ 110 кВ один кабель A2XS(FL)2Y 300 мм2</t>
  </si>
  <si>
    <t>КЛ 110 кВ один кабель МВДТ 550 мм2</t>
  </si>
  <si>
    <t>КЛ 110 кВ один кабель АПвП2г 550 мм2</t>
  </si>
  <si>
    <t>КЛ 110 кВ один кабель ПвП2г 1000 мм2</t>
  </si>
  <si>
    <t>КЛ 110 кВ один кабель ПвП2г 1200 мм2</t>
  </si>
  <si>
    <t>КЛ 220 кВ один кабель 2xS(FL)2Y-LWL 1600 мм2</t>
  </si>
  <si>
    <t>КЛ 220 кВ один кабель МВДТ 550 мм2</t>
  </si>
  <si>
    <t>КЛ 220 кВ один кабель ПвПу2г 2000 мм2</t>
  </si>
  <si>
    <t>КЛ 110 кВ два кабеля АПвП2г 300 мм2</t>
  </si>
  <si>
    <t>КЛ 110 кВ два кабеля A2XS(FL)2Y 300 мм2</t>
  </si>
  <si>
    <t>КЛ 110 кВ два кабеля МВДТ 550 мм2</t>
  </si>
  <si>
    <t>КЛ 110 кВ два кабеля АПвП2г 550 мм2</t>
  </si>
  <si>
    <t>КЛ 110 кВ два кабеля ПвП2г 1000 мм2</t>
  </si>
  <si>
    <t>КЛ 110 кВ два кабеля ПвП2г 1200 мм2</t>
  </si>
  <si>
    <t>КЛ 110 кВ два кабеля FXLJ-4FO 1200 мм2</t>
  </si>
  <si>
    <t>КЛ 220 кВ два кабеля МВДТ 550 мм2</t>
  </si>
  <si>
    <t>КЛ 220 кВ два кабеля ПвПу2г 2000 мм2</t>
  </si>
  <si>
    <t>скрыто</t>
  </si>
  <si>
    <t>протя-женн.</t>
  </si>
  <si>
    <t>скр</t>
  </si>
  <si>
    <t>Минстрой 04.08.2014 № 15285-ЕС/08</t>
  </si>
  <si>
    <t>для ПС</t>
  </si>
  <si>
    <t>для ВЛ</t>
  </si>
  <si>
    <t>Зональные поправки к ЗУ:</t>
  </si>
  <si>
    <t>для КЛ</t>
  </si>
  <si>
    <t>для сети</t>
  </si>
  <si>
    <t>Север</t>
  </si>
  <si>
    <t>Зон.попр.КЛ</t>
  </si>
  <si>
    <t>Зон.попр.ВЛ</t>
  </si>
  <si>
    <t>Зон.попр.ПС</t>
  </si>
  <si>
    <t>Зон.попр.сети</t>
  </si>
  <si>
    <t>Индексы к ФЕР-2001 СМР по ВЛ до 10 кВ медные</t>
  </si>
  <si>
    <t>Индексы к ФЕР-2001 СМР по КЛ до 10 кВ алюминиевые</t>
  </si>
  <si>
    <t>Индексы, не зависимые от регионов</t>
  </si>
  <si>
    <t>Кабельные линии электропередачи</t>
  </si>
  <si>
    <t>Специальные переходы на 100 м без учета кабеля и труб</t>
  </si>
  <si>
    <t>гор. застр.</t>
  </si>
  <si>
    <t>т. 14</t>
  </si>
  <si>
    <t>п. 3.8</t>
  </si>
  <si>
    <t>Специальные переходы через препятствия</t>
  </si>
  <si>
    <t>Восстановление дорожного покрытия и зеленой зоны</t>
  </si>
  <si>
    <t>Кабель ДКП-7-6z-4/12 совместно с КЛ</t>
  </si>
  <si>
    <t>Кабель ОПС-024E12 совместно с КЛ</t>
  </si>
  <si>
    <t>Кабель ОКБ-0,22-24</t>
  </si>
  <si>
    <t>Восстановление дорожного покрытия и зеленой зоны, 100 м2</t>
  </si>
  <si>
    <t>Прокладка ВОЛС в траншее, км</t>
  </si>
  <si>
    <t>Восстановление зеленой зоны</t>
  </si>
  <si>
    <t>Восстановление тротуарной плитки</t>
  </si>
  <si>
    <t>Восстановление тротуара с бордюром</t>
  </si>
  <si>
    <t>Восстановление тротуара без бордюра</t>
  </si>
  <si>
    <t>Итого основные затраты КЛ в ценах 2000 г.</t>
  </si>
  <si>
    <t>Дополнительные затраты по КЛ:</t>
  </si>
  <si>
    <t>ПС 110/10 кВ, 2х25 МВА, схемы 110-5Н/10-2; линии 2 ВН/20 НН</t>
  </si>
  <si>
    <t>ПС 110/10 кВ, 2х25 МВА, схемы 110-13/10-1; линии 2 ВН/22 НН</t>
  </si>
  <si>
    <t>ПС 110/6 кВ, 2х40 МВА, схемы 110-5Н/10-1; линии 2 ВН/22 линии НН</t>
  </si>
  <si>
    <t>ПС 110/10-6 кВ, 2х40 МВА, схемы 110-5АН/10(6)-1; линии 2 ВН/16 линий НН</t>
  </si>
  <si>
    <t>ПС 110/10 кВ, 2х40 МВА, схемы 110-5Н/10-1; линии 2 ВН/36 НН</t>
  </si>
  <si>
    <t>ПС 110/35/10 кВ, 2х10 МВА, схемы 110-9/35-9/10-1; линии 2 ВН/4 СН/36 НН</t>
  </si>
  <si>
    <t>ПС 110/35/10 кВ, 2х25 МВА, схемы 110-13/35-9/10-1; линии 4 ВН/4 СН/36 НН</t>
  </si>
  <si>
    <t>ПС 110/35/10 кВ, 2х40 МВА, схемы 110-13/35-9/10-1; линии 4 ВН/4 СН/36 НН</t>
  </si>
  <si>
    <t>ПС 220/10 кВ, 2х63 МВА, схемы 220-5Н/10-1; линии 2 ВН/36 НН</t>
  </si>
  <si>
    <t>ПС 220/35/10 кВ, 2х25 МВА, схемы 220-5Н/35-9/10-1; линии 2 ВН/4 СН/24 НН</t>
  </si>
  <si>
    <t>ПС 220/110/6 кВ, 2х125 МВА, схемы 220-7/110-9/6-1; линии 2 ВН/2 СН/36 НН</t>
  </si>
  <si>
    <t>ПС 220/110 кВ, 2х125 МВА, схемы 220-7/110-9; линии 2 ВН/7 СН</t>
  </si>
  <si>
    <t>ПС 220/110/10 кВ, 2х250 МВА, схемы 220-16/110-9/10-1; линии 6 ВН/4 СН/36 НН</t>
  </si>
  <si>
    <t>Открытые подстанции 35-220 кВ в целом</t>
  </si>
  <si>
    <t>Закрытые подстанции 35-220 кВ с открытой установкой трансформаторов</t>
  </si>
  <si>
    <t>ПС 110/10-6 кВ, 2х40 МВА закр., схемы 110-4Н/10(6)-1; линии 2 ВН/36 НН</t>
  </si>
  <si>
    <t>ОРУ 35 кВ схема 1: блок линия трансформатор с разъединителем</t>
  </si>
  <si>
    <t>ОРУ 220 кВ схема 5Н, 5 АН: мостик с элег. выключателем в перемычке и в цепях</t>
  </si>
  <si>
    <t>ОРУ 110 кВ схема 5Н, 5 АН: мостик с элег. выключателем в перемычке и в цепях</t>
  </si>
  <si>
    <t>ОРУ 35 кВ схема 5Н, 5 АН: мостик с элег. выключателем в перемычке и в цепях</t>
  </si>
  <si>
    <t>ОРУ 35-220 кВ по блочным и мостиковым схемам</t>
  </si>
  <si>
    <t>ОРУ 35 кВ схема 3Н: блок линия-трансформатор с выключателем</t>
  </si>
  <si>
    <t>ОРУ 35 кВ схема 4Н: два блока с элегазовым выкл. и перемычкой со стороны линии</t>
  </si>
  <si>
    <t>ОРУ 110 кВ схема 1: блок линия трансформатор с разъединителем</t>
  </si>
  <si>
    <t>ОРУ 110 кВ схема 3Н: блок линия-трансформатор с выключателем</t>
  </si>
  <si>
    <t>ОРУ 110 кВ схема 4Н: два блока с элегазовым выкл. и перемычкой со стороны линии</t>
  </si>
  <si>
    <t>ОРУ 220 кВ схема 1: блок линия трансформатор с разъединителем</t>
  </si>
  <si>
    <t>ОРУ 220 кВ схема 3Н: блок линия-трансформатор с выключателем</t>
  </si>
  <si>
    <t>ОРУ 220 кВ схема 4Н: два блока с элегазовым выкл. и перемычкой со стороны линии</t>
  </si>
  <si>
    <t>Ячейки выключателя в РУ 35-220 кВ</t>
  </si>
  <si>
    <t>Выключатель 6-10 кВ масляный 31,5-40 кА</t>
  </si>
  <si>
    <t>Выключатель 6-10 кВ вакуумный КРУН 31,5-40 кА</t>
  </si>
  <si>
    <t>Выключатель 6-10 кВ элегазовый для ОРУ 31,5-40 кА</t>
  </si>
  <si>
    <t>Выключатель 35 кВ масляный наружной установки 20-25 кА</t>
  </si>
  <si>
    <t>Выключатель 110 кВ воздушный</t>
  </si>
  <si>
    <t>Выключатель 110 кВ масляный</t>
  </si>
  <si>
    <t>Выключатель 110 кВ вакуумный КРУН</t>
  </si>
  <si>
    <t>Выключатель 110 кВ элегазовый для ОРУ</t>
  </si>
  <si>
    <t>Выключатель 6-10 кВ элегазовый для КРУ 31,5-40 кА</t>
  </si>
  <si>
    <t>Ячейка трансформатора 35-220 кВ при открытой установке</t>
  </si>
  <si>
    <t>Трансформатор 35/НН мощностью 2,5 МВА</t>
  </si>
  <si>
    <t>Трансформатор 35/НН мощностью 4 МВА</t>
  </si>
  <si>
    <t>Трансформатор 35/НН мощностью 6,3 МВА</t>
  </si>
  <si>
    <t>Трансформатор 35/НН мощностью 10 МВА</t>
  </si>
  <si>
    <t>Трансформатор 35/НН мощностью 16 МВА</t>
  </si>
  <si>
    <t>Трансформатор 35/НН мощностью 25 МВА</t>
  </si>
  <si>
    <t>Трансформатор 35/НН мощностью 40 МВА</t>
  </si>
  <si>
    <t>Трансформатор 110/НН мощностью 6,3 МВА</t>
  </si>
  <si>
    <t>Трансформатор 110/НН мощностью 10 МВА</t>
  </si>
  <si>
    <t>Трансформатор 110/НН мощностью 16 МВА</t>
  </si>
  <si>
    <t>Трансформатор 110/НН мощностью 25 МВА</t>
  </si>
  <si>
    <t>Трансформатор 110/НН мощностью 40 МВА</t>
  </si>
  <si>
    <t>Трансформатор 110/НН мощностью 63 МВА</t>
  </si>
  <si>
    <t>Трансформатор 110/НН мощностью 80 МВА</t>
  </si>
  <si>
    <t>Трансформатор 110/НН мощностью 125 МВА</t>
  </si>
  <si>
    <t>Трансформатор 110/НН мощностью 220 МВА</t>
  </si>
  <si>
    <t>Трансформатор 110/35/НН мощностью 6,3 МВА</t>
  </si>
  <si>
    <t>Трансформатор 110/35/НН мощностью 10 МВА</t>
  </si>
  <si>
    <t>Трансформатор 110/35/НН мощностью 16 МВА</t>
  </si>
  <si>
    <t>Трансформатор 110/35/НН мощностью 25 МВА</t>
  </si>
  <si>
    <t>Трансформатор 110/35/НН мощностью 40 МВА</t>
  </si>
  <si>
    <t>Трансформатор 110/35/НН мощностью 63 МВА</t>
  </si>
  <si>
    <t>Трансформатор 110/35/НН мощностью 80 МВА</t>
  </si>
  <si>
    <t>Трансформатор 220/НН мощностью 40 МВА</t>
  </si>
  <si>
    <t>Трансформатор 220/НН мощностью 63 МВА</t>
  </si>
  <si>
    <t>Трансформатор 220/НН мощностью 100 МВА</t>
  </si>
  <si>
    <t>Трансформатор 220/НН мощностью 160 МВА</t>
  </si>
  <si>
    <t>Трансформатор 220/35/НН мощностью 25 МВА</t>
  </si>
  <si>
    <t>Трансформатор 220/35/НН мощностью 40 МВА</t>
  </si>
  <si>
    <t>Автотрансформатор 220/110/НН мощностью 63 МВА</t>
  </si>
  <si>
    <t>Автотрансформатор 220/110/НН мощностью 125 МВА</t>
  </si>
  <si>
    <t>Автотрансформатор 220/110/НН мощностью 200 МВА</t>
  </si>
  <si>
    <t>Автотрансформатор 220/110/НН мощностью 250 МВА</t>
  </si>
  <si>
    <t>Трансформатор 220/НН ПБВ мощностью 80 МВА</t>
  </si>
  <si>
    <t>Трансформатор 220/НН ПБВ мощностью 125 МВА</t>
  </si>
  <si>
    <t>Трансформатор 220/НН ПБВ мощностью 200 МВА</t>
  </si>
  <si>
    <t>Лин. рег. тр-р ТДНЛ-10000/10 10 кВ, мощностью 10 МВА</t>
  </si>
  <si>
    <t>Лин. рег. тр-р ТМНЛ-16000/10 10 кВ, мощностью 16 МВА</t>
  </si>
  <si>
    <t>Лин. рег. тр-р ТДНЛ-40000/10 10 кВ, мощностью 40 МВА</t>
  </si>
  <si>
    <t>Лин. рег. тр-р ТДНЛ-63000/10 10 кВ, мощностью 63 МВА</t>
  </si>
  <si>
    <t>Лин. рег. тр-р ТДНЛ-63000/35 35 кВ, мощностью 63 МВА</t>
  </si>
  <si>
    <t>Синхр. компенсатор КСВБО-100-11 мощностью 100 МВАр</t>
  </si>
  <si>
    <t>Синхр. компенсатор КСВБ-100-11 мощностью 100 МВАр</t>
  </si>
  <si>
    <t>Синхр. компенсатор КСВБО-50-11 мощностью 50 МВАр</t>
  </si>
  <si>
    <t>Синхр. компенсатор КСВБ-50-11 мощностью 50 МВАр</t>
  </si>
  <si>
    <t>Асинхр. компенсатор АСК-50 мощностью 50 МВАр</t>
  </si>
  <si>
    <t>Асинхр. компенсатор АСК-100 мощностью 100 МВАр</t>
  </si>
  <si>
    <t>Статич. тиристорный компенсатор СТК-50</t>
  </si>
  <si>
    <t>Статич. тиристорный компенсатор СТК-100</t>
  </si>
  <si>
    <t>Два синхр. компенсатора КСВБ-50-11 мощностью 50 МВАр</t>
  </si>
  <si>
    <t>Два синхр. компенсатора КСВБО-50-11 мощностью 50 МВАр</t>
  </si>
  <si>
    <t>Два синхр. компенсатора КСВБ-100-11 мощностью 100 МВАр</t>
  </si>
  <si>
    <t>Два синхр. компенсатора КСВБО-100-11 мощностью 100 МВАр</t>
  </si>
  <si>
    <t>Два асинхр. компенсатора АСК-50 мощностью 50 МВАр</t>
  </si>
  <si>
    <t>Два асинхр. компенсатора АСК-100 мощностью 100 МВАр</t>
  </si>
  <si>
    <t>Два статич. тиристорных компенсатора СТК-50</t>
  </si>
  <si>
    <t>Два статич. тиристорных компенсатора СТК-100</t>
  </si>
  <si>
    <t>Упр. шунтирующий реактор УШР-110 мощностью 32 МВА</t>
  </si>
  <si>
    <t>Упр. шунтирующий реактор УШР-220 мощностью 63 МВА</t>
  </si>
  <si>
    <t>Упр. шунтирующий реактор УШР-220 мощностью 100 МВА</t>
  </si>
  <si>
    <t>Шунтирующие реакторы и шунтовые батареи</t>
  </si>
  <si>
    <t>Шунтовая конденс. батарея 6 кВ мощность. 1,45 МВАр</t>
  </si>
  <si>
    <t>22</t>
  </si>
  <si>
    <t>23</t>
  </si>
  <si>
    <t>Шунтовая конденс. батарея 6 кВ мощность. 4,3 МВАр</t>
  </si>
  <si>
    <t>Шунтовая конденс. батарея 6 кВ мощность. 7,2 МВАр</t>
  </si>
  <si>
    <t>Шунтовая конденс. батарея 10 кВ мощность. 1,2 МВАр</t>
  </si>
  <si>
    <t>Шунтовая конденс. батарея 10 кВ мощность. 2,4 МВАр</t>
  </si>
  <si>
    <t>Шунтовая конденс. батарея 10 кВ мощность. 3,6 МВАр</t>
  </si>
  <si>
    <t>Шунтовая конденс. батарея 10 кВ мощность. 6,0 МВАр</t>
  </si>
  <si>
    <t>Шунтовая конденс. батарея 10 кВ мощность. 7,2 МВАр</t>
  </si>
  <si>
    <t>Шунтовая конденс. батарея 10 кВ мощность. 12 МВАр</t>
  </si>
  <si>
    <t>Шунтовая конденс. батарея 35 кВ мощность. 9,1 МВАр</t>
  </si>
  <si>
    <t>Шунтовая конденс. батарея 35 кВ мощность. 13,6 МВАр</t>
  </si>
  <si>
    <t>Шунтовая конденс. батарея 35 кВ мощность. 18,1 МВАр</t>
  </si>
  <si>
    <t>Шунтовая конденс. батарея 110 кВ мощность. 27,2 МВАр</t>
  </si>
  <si>
    <t>Шунтовая конденс. батарея 110 кВ мощность. 40,8 МВАр</t>
  </si>
  <si>
    <t>Шунтовая конденс. батарея 110 кВ мощность. 54 МВАр</t>
  </si>
  <si>
    <t>Шунтовая конденс. батарея 110 кВ мощность. 54,4 МВАр регулир.</t>
  </si>
  <si>
    <t>Шунтовая конденс. батарея 10 кВ мощность. 9,6 МВАр регулир.</t>
  </si>
  <si>
    <t>Шунтовая конденс. батарея 10 кВ мощность. 4,8 МВАр регулир.</t>
  </si>
  <si>
    <t>Шунтовая конденс. батарея 6 кВ мощность. 5,8 МВАр регулир.</t>
  </si>
  <si>
    <t>Шунтовая конденс. батарея 6 кВ мощность. 2,9 МВАр регулир.</t>
  </si>
  <si>
    <t>24</t>
  </si>
  <si>
    <t>Шунтирующий реактор РТМ 11 кВ мощностью 3,3 МВА, 3 фазы</t>
  </si>
  <si>
    <t>Шунтирующий реактор РТД 38,5 кВ мощностью 20 МВА, 3 фазы</t>
  </si>
  <si>
    <t>Шунтирующий реактор 3хРОДБС 121 кВ мощностью 3х33,3 МВА, 3 фазы</t>
  </si>
  <si>
    <t>Вакуумно-реакторная группа 10 кВ мощностью 7,5 МВАр</t>
  </si>
  <si>
    <t>Вакуумно-реакторная группа 10 кВ мощностью 10 МВАр</t>
  </si>
  <si>
    <t>Вакуумно-реакторная группа 10 кВ мощностью 20 МВАр</t>
  </si>
  <si>
    <t>Вакуумно-реакторная группа 10 кВ мощностью 50 МВАр</t>
  </si>
  <si>
    <t>25</t>
  </si>
  <si>
    <t>27</t>
  </si>
  <si>
    <t>Дугогасящий масл. однофазный реактор РЗДПОМ-480/10 У1</t>
  </si>
  <si>
    <t>Дугогасящий масл. однофазный реактор РЗДПОМ-480/20 У1</t>
  </si>
  <si>
    <t>Дугогасящий масл. однофазный реактор РЗДПОМ-480/35 У1</t>
  </si>
  <si>
    <t>Дугогасящий масл. однофазный реактор РЗДПОМА-190/10 У1</t>
  </si>
  <si>
    <t>Дугогасящий масл. однофазный реактор РУОМ-300/6 УХЛ1</t>
  </si>
  <si>
    <t>Постоянная часть затрат по ПС 35-220 кВ с открытой установкой оборудования</t>
  </si>
  <si>
    <t>Постоянная часть затрат по закрытой ПС 35-220 кВ</t>
  </si>
  <si>
    <t>28</t>
  </si>
  <si>
    <t>ПС 35/10 кВ, схема 35-1 без выключателей</t>
  </si>
  <si>
    <t>ПС 110/6-10 кВ, схема 110-4Н два блока с выкл. и перемычкой</t>
  </si>
  <si>
    <t>ПС 110/6-10 кВ, схема 110-13 две рабочие системы шин</t>
  </si>
  <si>
    <t>ПС 110/35/10 кВ, схема 110-13 две рабочие системы шин</t>
  </si>
  <si>
    <t>ПС 220/10 кВ, схемы 220-5Н, 220-5АН мостик</t>
  </si>
  <si>
    <t>ПС 220/35/10 кВ, схемы 220-5Н, 220-5АН мостик</t>
  </si>
  <si>
    <t>ПС 220/110 кВ, схема 220-7 четырехугольник</t>
  </si>
  <si>
    <t>ПС 220/110 кВ, схема 220-13 две рабочие системы шин</t>
  </si>
  <si>
    <t>ПС 35/10 кВ, схемы 35-3АН, 35-4Н, 35-5Н, 35-5АН с выключателями</t>
  </si>
  <si>
    <t>ПС 110/6-10 кВ, схемы 110-5Н, 110-5АН мостик</t>
  </si>
  <si>
    <t>ПС 35/10 кВ закр., схемы 35-3АН, 35-4Н, 35-5Н, 35-5АН с выключателями</t>
  </si>
  <si>
    <t>ПС 110/6-10 кВ закр., схема 110-13 две рабочие системы шин</t>
  </si>
  <si>
    <t>ПС 110/6-10 кВ закр., схемы 110-5Н, 110-5АН мостик</t>
  </si>
  <si>
    <t>ПС 220/10 кВ закр., схемы 220-5Н, 220-5АН мостик</t>
  </si>
  <si>
    <t>ПС 220/110 кВ закр., схема 220-7 четырехугольник</t>
  </si>
  <si>
    <t>ПС 220/110 кВ закр., схема 220-13 две рабочие системы шин</t>
  </si>
  <si>
    <t>29</t>
  </si>
  <si>
    <t>Противоаварийная автоматика ПС - до 2 присоед. 220 кВ</t>
  </si>
  <si>
    <t>Противоаварийная автоматика ПС - свыше 2 присоед. 220 кВ</t>
  </si>
  <si>
    <t>26</t>
  </si>
  <si>
    <t>комплекс АСУ ТП  ПС 110 кВ</t>
  </si>
  <si>
    <t>комплекс АСУ ТП  ПС 220 кВ</t>
  </si>
  <si>
    <t>комплекс АИСКУЭ  ПС 110 кВ</t>
  </si>
  <si>
    <t>комплекс АИСКУЭ  ПС 220 кВ</t>
  </si>
  <si>
    <t>Система телемеханики  ПС 110 кВ</t>
  </si>
  <si>
    <t>Система телемеханики  ПС 220 кВ</t>
  </si>
  <si>
    <t>Система пожарно-охранной сигнализации ПС 110 кВ</t>
  </si>
  <si>
    <t>Система пожарно-охранной сигнализации ПС 220 кВ</t>
  </si>
  <si>
    <t>Противоаварийная автоматика и программно-технические комплексы</t>
  </si>
  <si>
    <t>Укрупненные показатели стоимости КЛ 0,4-220 кВ, т.р. за 1 км</t>
  </si>
  <si>
    <t>Демонтаж ВЛ, т.р. за 1 км</t>
  </si>
  <si>
    <t>Демонтаж деревянных опор ВЛ 6-10 кВ</t>
  </si>
  <si>
    <t>Демонтаж деревянных опор ВЛ 0,4 кВ</t>
  </si>
  <si>
    <t>Демонтаж ж/б опор ВЛ 6-10 кВ</t>
  </si>
  <si>
    <t>Демонтаж ж/б опор ВЛ 0,4 кВ</t>
  </si>
  <si>
    <t>31</t>
  </si>
  <si>
    <t>Демонтаж трех проводов ВЛ 0,4-10 кВ сечением до 95 мм2</t>
  </si>
  <si>
    <t>32</t>
  </si>
  <si>
    <t>Демонтаж стальных опор ВЛ 35 кВ</t>
  </si>
  <si>
    <t>Демонтаж стальных опор ВЛ 110 кВ</t>
  </si>
  <si>
    <t>Демонтаж стальных опор ВЛ 220 кВ</t>
  </si>
  <si>
    <t>Демонтаж ж/б опор ВЛ 35 кВ (анкерно-угловые стальные)</t>
  </si>
  <si>
    <t>Демонтаж ж/б опор ВЛ 110 кВ (анкерно-угловые стальные)</t>
  </si>
  <si>
    <t>Демонтаж ж/б опор ВЛ 220 кВ (анкерно-угловые стальные)</t>
  </si>
  <si>
    <t>Демонтаж трех проводов ВЛ-35 кВ сечением до 120 мм2 при пролете до 1 км</t>
  </si>
  <si>
    <t>3а</t>
  </si>
  <si>
    <t>2г</t>
  </si>
  <si>
    <t>2д</t>
  </si>
  <si>
    <t>2е</t>
  </si>
  <si>
    <t>Демонтаж трех проводов ВЛ-35 кВ сечением до 120 мм2 при пролете свыше 1 км</t>
  </si>
  <si>
    <t>Демонтаж трех проводов ВЛ-110 кВ сечением до 240 мм2 при пролете до 1 км</t>
  </si>
  <si>
    <t>3б</t>
  </si>
  <si>
    <t>Демонтаж трех проводов ВЛ-110 кВ сечением до 240 мм2 при пролете свыше 1 км</t>
  </si>
  <si>
    <t>3в</t>
  </si>
  <si>
    <t>Демонтаж трех проводов ВЛ-220 кВ сечением свыше 240 мм2 при пролете до 1 км</t>
  </si>
  <si>
    <t>Демонтаж трех проводов ВЛ-220 кВ сечением свыше 240 мм2 при пролете свыше 1 км</t>
  </si>
  <si>
    <t>Демонтаж шести проводов ВЛ-220 кВ сечением свыше 240 мм2 при пролете до 1 км</t>
  </si>
  <si>
    <t>Демонтаж шести проводов ВЛ-220 кВ сечением свыше 240 мм2 при пролете свыше 1 км</t>
  </si>
  <si>
    <t>3г</t>
  </si>
  <si>
    <t>3е</t>
  </si>
  <si>
    <t>Демонтаж одного грозащитного троса</t>
  </si>
  <si>
    <t>Демонтаж двух грозащитных тросов</t>
  </si>
  <si>
    <t>Демонтаж оборудования подстанций</t>
  </si>
  <si>
    <t>30</t>
  </si>
  <si>
    <t>Демонтаж трансформатора 35 кВ 10-40 МВА, с консервацией</t>
  </si>
  <si>
    <t>Демонтаж трансформатора 35 кВ 10-40 МВА, с использованием</t>
  </si>
  <si>
    <t>Демонтаж трансформатора 35 кВ 10-40 МВА, в лом без разборки</t>
  </si>
  <si>
    <t>Демонтаж трансформатора 35 кВ 10-40 МВА, в лом с разборкой</t>
  </si>
  <si>
    <t>Демонтаж трансформатора 110 кВ 2,5-6,3 МВА, с консервацией</t>
  </si>
  <si>
    <t>Демонтаж трансформатора 110 кВ 2,5-6,3 МВА, с использованием</t>
  </si>
  <si>
    <t>Демонтаж трансформатора 110 кВ 2,5-6,3 МВА, в лом с разборкой</t>
  </si>
  <si>
    <t>Демонтаж трансформатора 110 кВ 2,5-6,3 МВА, в лом без разборки</t>
  </si>
  <si>
    <t>Демонтаж трансформатора 110 кВ 25-80 МВА, с консервацией</t>
  </si>
  <si>
    <t>Демонтаж трансформатора 110 кВ 25-80 МВА, с использованием</t>
  </si>
  <si>
    <t>Демонтаж трансформатора 110 кВ 25-80 МВА, в лом с разборкой</t>
  </si>
  <si>
    <t>Демонтаж трансформатора 110 кВ 25-80 МВА, в лом без разборки</t>
  </si>
  <si>
    <t>Демонтаж трансформатора 220 кВ 25-160 МВА, с консервацией</t>
  </si>
  <si>
    <t>Демонтаж трансформатора 220 кВ 25-160 МВА, с использованием</t>
  </si>
  <si>
    <t>Демонтаж трансформатора 220 кВ 25-160 МВА, в лом с разборкой</t>
  </si>
  <si>
    <t>Демонтаж трансформатора 220 кВ 25-160 МВА, в лом без разборки</t>
  </si>
  <si>
    <t>Демонтаж трансформатора 220 кВ 200-250 МВА, с консервацией</t>
  </si>
  <si>
    <t>Демонтаж трансформатора 220 кВ 200-250 МВА, с использованием</t>
  </si>
  <si>
    <t>Демонтаж трансформатора 220 кВ 200-250 МВА, в лом с разборкой</t>
  </si>
  <si>
    <t>Демонтаж трансформатора 220 кВ 200-250 МВА, в лом без разборки</t>
  </si>
  <si>
    <t>Демонтаж воздушного выключателя 220 кВ, с консервацией</t>
  </si>
  <si>
    <t>Демонтаж воздушного выключателя 220 кВ, с использованием</t>
  </si>
  <si>
    <t>Демонтаж воздушного выключателя 220 кВ, в лом с разборкой</t>
  </si>
  <si>
    <t>Демонтаж воздушного выключателя 220 кВ, в лом без разборки</t>
  </si>
  <si>
    <t>Демонтаж масляного выключателя 110 кВ, с консервацией</t>
  </si>
  <si>
    <t>Демонтаж масляного выключателя 110 кВ, с использованием</t>
  </si>
  <si>
    <t>Демонтаж масляного выключателя 110 кВ, в лом с разборкой</t>
  </si>
  <si>
    <t>Демонтаж масляного выключателя 35 кВ, с консервацией</t>
  </si>
  <si>
    <t>Демонтаж масляного выключателя 35 кВ, с использованием</t>
  </si>
  <si>
    <t>Демонтаж масляного выключателя 35 кВ, в лом с разборкой</t>
  </si>
  <si>
    <t>Демонтаж масляного выключателя 35 кВ, в лом без разборки</t>
  </si>
  <si>
    <t>Демонтаж масляного выключателя 110 кВ, в лом без разборки</t>
  </si>
  <si>
    <t>Демонтаж масляного выключателя 220 кВ, с консервацией</t>
  </si>
  <si>
    <t>Демонтаж масляного выключателя 220 кВ, с использованием</t>
  </si>
  <si>
    <t>Демонтаж масляного выключателя 220 кВ, в лом с разборкой</t>
  </si>
  <si>
    <t>Демонтаж масляного выключателя 220 кВ, в лом без разборки</t>
  </si>
  <si>
    <t>Демонтаж разъединителя 35 кВ, с консервацией</t>
  </si>
  <si>
    <t>Демонтаж разъединителя 35 кВ, с использованием</t>
  </si>
  <si>
    <t>Демонтаж разъединителя 35 кВ, в лом с разборкой</t>
  </si>
  <si>
    <t>Демонтаж разъединителя 35 кВ, в лом без разборки</t>
  </si>
  <si>
    <t>Демонтаж разъединителя 110 кВ, с использованием</t>
  </si>
  <si>
    <t>Демонтаж разъединителя 110 кВ, в лом с разборкой</t>
  </si>
  <si>
    <t>Демонтаж разъединителя 110 кВ, в лом без разборки</t>
  </si>
  <si>
    <t>Демонтаж разъединителя 110 кВ, с консервацией</t>
  </si>
  <si>
    <t>Демонтаж разъединителя 220 кВ, с консервацией</t>
  </si>
  <si>
    <t>Демонтаж разъединителя 220 кВ, с использованием</t>
  </si>
  <si>
    <t>Демонтаж разъединителя 220 кВ, в лом с разборкой</t>
  </si>
  <si>
    <t>Демонтаж разъединителя 220 кВ, в лом без разборки</t>
  </si>
  <si>
    <t>Демонтаж стальных опор под оборудование, с использованием</t>
  </si>
  <si>
    <t>Демонтаж стальных опор под оборудование, в лом с разборкой</t>
  </si>
  <si>
    <t>Демонтаж стальных опор под оборудование, в лом без разборки</t>
  </si>
  <si>
    <t>Демонтаж стальных опор под оборудование, с консервацией</t>
  </si>
  <si>
    <t>Укрупненные показатели стоимости ПС 35-220 кВ, т.р.</t>
  </si>
  <si>
    <t>Электроподстанции</t>
  </si>
  <si>
    <t>Ячейки выключателей</t>
  </si>
  <si>
    <t>ВЛ 0,4 кВ на стальных опорах для Москвы и М/о</t>
  </si>
  <si>
    <t>ВЛ 6-10 кВ на стальных опорах для Москвы и М/о</t>
  </si>
  <si>
    <t>ВЛ 0,4 кВ на железобетонных опорах для Москвы и М/о</t>
  </si>
  <si>
    <t>ВЛ 6-10 кВ на железобетонных опорах для Москвы и М/о</t>
  </si>
  <si>
    <t>КЛ 0,4 кВ для Москвы и М/о</t>
  </si>
  <si>
    <t>КЛ 6-10 кВ для Москвы и М/о</t>
  </si>
  <si>
    <t xml:space="preserve">  (без объектов на напряжение 330 кВ и выше)</t>
  </si>
  <si>
    <t>Сборник Укрупненных показателей стоимости строительства ВЛ, КЛ и ПС</t>
  </si>
  <si>
    <t>Постоянная часть подстанций</t>
  </si>
  <si>
    <t>ПС 35/10 кВ, 2х6,3 МВА закр., схемы 35-4Н/10-1, линии 2 ВН/16 НН</t>
  </si>
  <si>
    <t>ПС 35/10 кВ, 2х16 МВА закр., схемы 35-4Н/10-1; линии 2 ВН/16 НН</t>
  </si>
  <si>
    <t>ПС 110/10 кВ, 2х10 МВА закр., схемы 110-5Н/10-1; 2 линии ВН/16 НН</t>
  </si>
  <si>
    <t>ПС 110/10 кВ, 2х25 МВА закр., схемы 110-5Н/10-1; линии 2 ВН/32 НН</t>
  </si>
  <si>
    <t>ПС 110/10 кВ, 2х63 МВА закр., схемы 110-5Н/10-1; линии 2 ВН/36 НН</t>
  </si>
  <si>
    <t>ПС 110/10 кВ 2х63 МВА, закр. элегаз схемы 110-13/10-3; линии 2 ВН/36 НН</t>
  </si>
  <si>
    <t>ПС 220/110/10 2х200 МВА, закр. элегаз схемы 220-7/110-13/10-1; линии 2 ВН/6 СН/48 НН</t>
  </si>
  <si>
    <t>ПС 220/110/10 2х200 МВА, закр. элегаз схемы 220-9Н/110-13/10-1; линии 4 ВН/8 СН/48 НН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</si>
  <si>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</si>
  <si>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</si>
  <si>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</si>
  <si>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КТП с тр-ром мощностью 25-630 кВА</t>
  </si>
  <si>
    <t>КТП с двумя тр-рами мощностью 160-630 кВА</t>
  </si>
  <si>
    <t>БКТП закрытого типа с двумя тр-рами мощностью 160-630 кВА</t>
  </si>
  <si>
    <t>Распределительные пункты наружной установки</t>
  </si>
  <si>
    <t>Распределительные пункты закрытого типа</t>
  </si>
  <si>
    <t>Секционирующие пункты</t>
  </si>
  <si>
    <t>Мачтовые подстанции мощностью 25-250 кВА</t>
  </si>
  <si>
    <t>П.11, 2.1</t>
  </si>
  <si>
    <t>ПС 35/6-10 кВ схема 35-4 блок линия-трансформатор</t>
  </si>
  <si>
    <t>ПС 35/6-10 кВ схема 35-5 мостик с тремя выключателями</t>
  </si>
  <si>
    <t>ПС 110/6-10 кВ схема 110-4 блок линия трансформатор</t>
  </si>
  <si>
    <t>ПС 110/6-10 кВ схема 110-5 мостик с тремя выключателями</t>
  </si>
  <si>
    <t>ПС 110/35/6-10 кВ схема 110-4 с 5 ячейками 35 кВ</t>
  </si>
  <si>
    <t>1а</t>
  </si>
  <si>
    <t>2а</t>
  </si>
  <si>
    <t>ПС 110/35/6-10 кВ схема 110-5 мостик с 9 ячейками 35 кВ</t>
  </si>
  <si>
    <t>4а</t>
  </si>
  <si>
    <t>ПС 110/35/6-10 кВ сборные шины с 9 ячейками 110 кВ и 9 ячейками 35 кВ</t>
  </si>
  <si>
    <t>ПС 35/6-10 кВ сборные шины с 8 ячейками ВН</t>
  </si>
  <si>
    <t>ПС 110/6-10 кВ сборные шины с 8 ячейками ВН</t>
  </si>
  <si>
    <t>ПС 220/6-10 кВ схема 220-4 блок линия-трансформатор</t>
  </si>
  <si>
    <t>ПС 220/6-10 кВ схема 220-5 мостик</t>
  </si>
  <si>
    <t>ПС 220/6-10 кВ схема 220-7 четырехугольник</t>
  </si>
  <si>
    <t>ПС 220/6-10 кВ сборные шины с 9 ячейками 220 кВ</t>
  </si>
  <si>
    <t>ПС 220/35/6-10 кВ схема 220-4 блок с 10 ячейками 35 кВ</t>
  </si>
  <si>
    <t>1б</t>
  </si>
  <si>
    <t>ПС 220/110/6-10 кВ схема 220-4 блок с 6 ячейками 110 кВ</t>
  </si>
  <si>
    <t>ПС 220/110/6-10 кВ схема 220-5 мостик с 12 ячейками 110 кВ</t>
  </si>
  <si>
    <t>2б</t>
  </si>
  <si>
    <t>ПС 220/110/6-10 кВ сборные шины с 9 ячейками 220 кВ и 8 ячейками 110 кВ</t>
  </si>
  <si>
    <t>5б</t>
  </si>
  <si>
    <t>ПС 220/110/35/10 кВ сборные шины с 9х220 кв, 9Х110 кВ, 10х35 кВ, 4 тр-ра</t>
  </si>
  <si>
    <t>П.11, 1.1</t>
  </si>
  <si>
    <t>Дополнительные затраты по ПС:</t>
  </si>
  <si>
    <t>Итого основные затраты ПС в ценах 2000 г.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</si>
  <si>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</si>
  <si>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</si>
  <si>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</si>
  <si>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</si>
  <si>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   в т.ч. ВЛ 0,4 кВ</t>
  </si>
  <si>
    <t xml:space="preserve">               ВЛ 35 кВ</t>
  </si>
  <si>
    <t xml:space="preserve">               ВЛ 110-220 кВ</t>
  </si>
  <si>
    <t xml:space="preserve">    в т.ч. ВЛ 0,4 кВ</t>
  </si>
  <si>
    <t xml:space="preserve">              ВЛ 1-20 кВ</t>
  </si>
  <si>
    <t xml:space="preserve">              ВЛ 110-220 кВ</t>
  </si>
  <si>
    <t xml:space="preserve">              ВЛ 35 кВ</t>
  </si>
  <si>
    <t>Оборудов</t>
  </si>
  <si>
    <t>П-3</t>
  </si>
  <si>
    <t>Сейсмика 6 баллов</t>
  </si>
  <si>
    <t>Сейсмика 7 баллов</t>
  </si>
  <si>
    <t>Сейсмика 8 баллов</t>
  </si>
  <si>
    <t>Прокладка ВОЛС в траншее</t>
  </si>
  <si>
    <t>Под напряжением</t>
  </si>
  <si>
    <t>Горные условия</t>
  </si>
  <si>
    <t>Городская застройка</t>
  </si>
  <si>
    <t>ветер 0,61-0,75 кПа</t>
  </si>
  <si>
    <t>ветер более 0,75 кПа</t>
  </si>
  <si>
    <t>Скальные грунты</t>
  </si>
  <si>
    <t>Болото</t>
  </si>
  <si>
    <t>Пойма рек</t>
  </si>
  <si>
    <t xml:space="preserve">              КЛ 3-10 кВ</t>
  </si>
  <si>
    <t xml:space="preserve">              КЛ 110-220 кВ</t>
  </si>
  <si>
    <t xml:space="preserve">              КЛ 20-35 кВ</t>
  </si>
  <si>
    <t xml:space="preserve">   итого КЛ с реконструкцией</t>
  </si>
  <si>
    <t>всего, в т.ч. КЛ до 1 кВ</t>
  </si>
  <si>
    <t>Реконструкция/расширение постоянной части</t>
  </si>
  <si>
    <t>Установка доп. оборудования ПС</t>
  </si>
  <si>
    <t>Замена распред. устройства ПС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</si>
  <si>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</si>
  <si>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</si>
  <si>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</si>
  <si>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</si>
  <si>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</si>
  <si>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</si>
  <si>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</si>
  <si>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Москва или Московская область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</si>
  <si>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</si>
  <si>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</si>
  <si>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</si>
  <si>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</si>
  <si>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</si>
  <si>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Благоустройство</t>
  </si>
  <si>
    <t>Проектно-изыск. работы и авт. надзор</t>
  </si>
  <si>
    <t>Прочие работы и затраты</t>
  </si>
  <si>
    <t>Служба заказчика, стройнадзор</t>
  </si>
  <si>
    <t>Непредвиденные работы и затраты</t>
  </si>
  <si>
    <t>Резерв, %</t>
  </si>
  <si>
    <t xml:space="preserve">   распределяемые ВОЛС и покрытия (%)</t>
  </si>
  <si>
    <t xml:space="preserve">  строительно-монтажные работы всего:</t>
  </si>
  <si>
    <t>в т.ч. НН до 20 кВ</t>
  </si>
  <si>
    <t xml:space="preserve">  оборудование КЛ</t>
  </si>
  <si>
    <t xml:space="preserve">  пусконаладочные работы КЛ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</si>
  <si>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</si>
  <si>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</si>
  <si>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</si>
  <si>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</si>
  <si>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 xml:space="preserve">  оборудование ВЛ</t>
  </si>
  <si>
    <t xml:space="preserve">  пусконаладочные работы на ВЛ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</si>
  <si>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</si>
  <si>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</si>
  <si>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</si>
  <si>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</si>
  <si>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</si>
  <si>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</si>
  <si>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</si>
  <si>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</si>
  <si>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</si>
  <si>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</si>
  <si>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</si>
  <si>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</si>
  <si>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</si>
  <si>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</si>
  <si>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</si>
  <si>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</si>
  <si>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</si>
  <si>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</si>
  <si>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Итого по главам 1-6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</si>
  <si>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</si>
  <si>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</si>
  <si>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</si>
  <si>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</si>
  <si>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</si>
  <si>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</si>
  <si>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</si>
  <si>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</si>
  <si>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</si>
  <si>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</si>
  <si>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</si>
  <si>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</si>
  <si>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</si>
  <si>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</si>
  <si>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</si>
  <si>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>ПИР по ВЛ</t>
  </si>
  <si>
    <t>ПИР по ПС</t>
  </si>
  <si>
    <t>Пусконаладочные работы на ВЛ</t>
  </si>
  <si>
    <t>Пусконаладочные работы на КЛ</t>
  </si>
  <si>
    <t>Пусконаладочные работы на ПС</t>
  </si>
  <si>
    <t>Итого по главам 1-11</t>
  </si>
  <si>
    <t>Благоустройство ВЛ</t>
  </si>
  <si>
    <t>Благоустройство КЛ</t>
  </si>
  <si>
    <t>Благоустройство ПС</t>
  </si>
  <si>
    <t>Временные здания и сооружения ВЛ</t>
  </si>
  <si>
    <t>Временные здания и сооружения КЛ</t>
  </si>
  <si>
    <t>Временные здания и сооружения ПС</t>
  </si>
  <si>
    <t>Зимнее удорожание по ВЛ</t>
  </si>
  <si>
    <t>Зимнее удорожание по КЛ</t>
  </si>
  <si>
    <t>Зимнее удорожание по ПС</t>
  </si>
  <si>
    <t>Итого по главам 9 и 11</t>
  </si>
  <si>
    <t>строительно-монтажных работ</t>
  </si>
  <si>
    <t xml:space="preserve">  проектно-изыскательские работы по КЛ</t>
  </si>
  <si>
    <t xml:space="preserve">  проектно-изыскательские работы ВЛ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</si>
  <si>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</si>
  <si>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</si>
  <si>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</si>
  <si>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</si>
  <si>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</si>
  <si>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</si>
  <si>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Минстрой 13.11.2014 № 25374-ЮР/08</t>
  </si>
  <si>
    <t>ВЛ 0,4 кВ с установкой ж/б опор и проводами  А до 35 мм2</t>
  </si>
  <si>
    <t>ВЛ 0,4 кВ с установкой дерев. опор и проводами  А до 35 мм2</t>
  </si>
  <si>
    <t>ВЛ 0,4 кВ с установкой ж/б опор и проводами  А до 35* мм2</t>
  </si>
  <si>
    <t>ВЛ 0,4 кВ с установкой дерев. опор и проводами  А до 35* мм2</t>
  </si>
  <si>
    <t>ВЛ 0,4 кВ с установкой ж/б опор и проводами  А 70 мм2</t>
  </si>
  <si>
    <t>ВЛ 0,4 кВ с установкой ж/б опор и проводами  А 95мм2</t>
  </si>
  <si>
    <t>ВЛ 0,4 кВ с установкой дерев. опор и проводами  А 95 мм2</t>
  </si>
  <si>
    <t>ВЛ 0,4 кВ с установкой ж/б опор и проводами  АС до 35 мм2</t>
  </si>
  <si>
    <t>ВЛ 0,4 кВ с установкой дерев. опор и проводами  АС до 35 мм2</t>
  </si>
  <si>
    <t>ВЛ 0,4 кВ с установкой ж/б опор и проводами  АС 70 мм2</t>
  </si>
  <si>
    <t>ВЛ 0,4 кВ с установкой дерев. опор и проводами  АС 70 мм3</t>
  </si>
  <si>
    <t>ВЛ 0,4 кВ с установкой ж/б опор и проводами  АС 95мм2</t>
  </si>
  <si>
    <t>ВЛ 0,4 кВ с установкой дерев. опор и проводами  АС 95 мм2</t>
  </si>
  <si>
    <t>Подвеска провода 0,4 кВ по существ. ж/б опорам 1 цепь АС до 35 мм2</t>
  </si>
  <si>
    <t>Подвеска провода 0,4 кВ по существ. дерев. опорам 1 цепь АС до 35 мм2</t>
  </si>
  <si>
    <t>Подвеска провода 0,4 кВ по существ. ж/б опорам 1 цепь АС 50 мм2</t>
  </si>
  <si>
    <t>Подвеска провода 0,4 кВ по существ. дерев. опорам 1 цепь АС 50 мм2</t>
  </si>
  <si>
    <t>Подвеска провода 0,4 кВ по существ. ж/б опорам 1 цепь АС до 70 мм2</t>
  </si>
  <si>
    <t>Подвеска провода 0,4 кВ по существ. дерев. опорам 1 цепь АС до 70 мм2</t>
  </si>
  <si>
    <t>ВЛ 0.4/10 кВ с установкой ж/б опор, с совместной подвеской 2 цепей проводов: 0,4 кВ магистр. линией СИП 50 мм2, ответвлений и вводами сечением 16 мм2, 10 кВ АС 50 мм2</t>
  </si>
  <si>
    <t>ВЛ 0.4/10 кВ с установкой ж/б опор, с совместной подвеской 2 цепей проводов: 0,4 кВ СИП 50 мм2, 10 кВ АС 50 мм2</t>
  </si>
  <si>
    <t>ВЛ 0.4/10 кВ с установкой ж/б опор, с совместной подвеской 2 цепей проводов: 0,4 кВ СИП 50 мм2, 10 кВ СИП 70 мм2</t>
  </si>
  <si>
    <t>ВЛ 0.4/10 кВ с установкой ж/б опор, с совместной подвеской 2 цепей проводов: 0,4 кВ магистр. линией СИП 50 мм2, ответвлений и вводами сечением 16 мм2, 10 кВ СИП 70 мм2</t>
  </si>
  <si>
    <t>ПС 35/10 кВ, 2х4 МВА, схемы 35-5Н/10-1; линии 2 ВН/16 линий НН</t>
  </si>
  <si>
    <t>ПС 35/10 кВ, 2х10 МВА, схемы 35-5АН/10-1; линии 2 ВН/16 линий НН</t>
  </si>
  <si>
    <t>ПС 110/10 кВ 2х10 МВА, схемы 110-4Н/10-1; линии 2 ВН/16 линий НН</t>
  </si>
  <si>
    <t>ПС 110/10 кВ, 2х25 МВА, схемы 110-12/10-1; линии 2 ВН/22 НН</t>
  </si>
  <si>
    <t>ПС 110/35/10 кВ, 2х25 МВА, схемы 110-12/35-9/10-1; линии 4 ВН/4 СН/36 НН</t>
  </si>
  <si>
    <t>Выключатель 35 кВ вакуумный</t>
  </si>
  <si>
    <t>Выключатель 35 кВ элегазовый для ОРУ</t>
  </si>
  <si>
    <t>Выключатель 35 кВ элегазовый для КРУЭ</t>
  </si>
  <si>
    <t>Выключатель 110 кВ элегазовый для КРУЭ</t>
  </si>
  <si>
    <t>Выключатель 110 кВ элегазовый для КРУЭ Siemens</t>
  </si>
  <si>
    <t>Выключатель 110 кВ элегазовый для КРУЭ Hyundai</t>
  </si>
  <si>
    <t>Выключатель 220 кВ воздушный</t>
  </si>
  <si>
    <t>Выключатель 220 кВ масляный</t>
  </si>
  <si>
    <t>Выключатель 220 кВ элегазовый для ОРУ</t>
  </si>
  <si>
    <t>Выключатель 220 кВ  элегазовый для КРУЭ</t>
  </si>
  <si>
    <t>Выключатель 220 кВ  элегазовый для КРУЭ  Siemens</t>
  </si>
  <si>
    <t>Дополнительные затраты при оценке в целом</t>
  </si>
  <si>
    <t>ВЛ 0,4 кВ с установкой дерев. опор и проводами  А 70 мм2</t>
  </si>
  <si>
    <t>ПС 35/10 кВ, 2х4 МВА, схемы35-9/10-1; линии 2 ВН/16 линий НН</t>
  </si>
  <si>
    <t>ПС 110/10 кВ, 2х40 МВА закр., схемы 110-5Н/10-1; линии 2 ВН/32 НН</t>
  </si>
  <si>
    <t>Демонтаж ВЛ 0,4-10 кВ поопорно</t>
  </si>
  <si>
    <t>Ж/б опора одностоечная</t>
  </si>
  <si>
    <t>Ж/б опора одностоечная с ж.б подкосом</t>
  </si>
  <si>
    <t>Дерев. опора одностоечная</t>
  </si>
  <si>
    <t>Дерев. опора одностоечная с ж/б подкосом</t>
  </si>
  <si>
    <t>Демонтаж ж/б опор ВЛ 35-220 кВ, тыс. руб. за 1 м3</t>
  </si>
  <si>
    <t>35 кВ промежут. свободност. одностоечные одноцепные</t>
  </si>
  <si>
    <t>35 кВ промежут. свободност. одностоечные двухцепные</t>
  </si>
  <si>
    <t>35 кВ анкерно-угловые, одноцепные на оттяжках, одностоечные</t>
  </si>
  <si>
    <t>110 кВ промежут. свободност. одностоечные одноцепные</t>
  </si>
  <si>
    <t>110 кВ промежут. свободност. одностоечные двухцепные</t>
  </si>
  <si>
    <t>110 кВ анкерно-угловые, одноцепные на оттяжках, одностоечные</t>
  </si>
  <si>
    <t>220 кВ промежут. свободност. одностоечные одноцепные</t>
  </si>
  <si>
    <t>220 кВ промежут. свободност. одностоечные двухцепные</t>
  </si>
  <si>
    <t>220 кВ анкерно-угловые, одноцепные на оттяжках, одностоечные</t>
  </si>
  <si>
    <t>Демонтаж стальных опор ВЛ 35-220 кВ, тыс. руб. за 1 т</t>
  </si>
  <si>
    <t>35 кВ промежут. свободност. одностоечные</t>
  </si>
  <si>
    <t xml:space="preserve">35 кВ промежут. на оттяжках одностоечные </t>
  </si>
  <si>
    <t>35 кВ анкерно-угловые, свободностоящие, одностоечные</t>
  </si>
  <si>
    <t>110 кВ промежут. свободност. одностоечные</t>
  </si>
  <si>
    <t xml:space="preserve">110 кВ промежут. на оттяжках одностоечные </t>
  </si>
  <si>
    <t>110 кВ анкерно-угловые, свободностоящие, одностоечные</t>
  </si>
  <si>
    <t>220 кВ промежут. свободност. одностоечные</t>
  </si>
  <si>
    <t xml:space="preserve">220 кВ промежут. на оттяжках одностоечные </t>
  </si>
  <si>
    <t>220 кВ анкерно-угловые, свободностоящие, одностоечные</t>
  </si>
  <si>
    <t>Затраты на устройство лежневых дорог ВЛ 0,4 кВ</t>
  </si>
  <si>
    <t>Затраты на устройство лежневых дорог ВЛ 10 кВ</t>
  </si>
  <si>
    <t>Затраты на устройство лежневых дорог ВЛ 35 кВ</t>
  </si>
  <si>
    <t>Затраты на устройство лежневых дорог ВЛ 120 кВ</t>
  </si>
  <si>
    <t>0,4 кВ_Затраты на устройство лежневых дорог на топких болотах</t>
  </si>
  <si>
    <t>10 кВ_Затраты на устройство лежневых дорог на топких болотах</t>
  </si>
  <si>
    <t>35 кВ_Затраты на устройство лежневых дорог на топких болотах</t>
  </si>
  <si>
    <t>110 кВ_Затраты на устройство лежневых дорог на топких болотах</t>
  </si>
  <si>
    <t>220 кВ_Затраты на устройство лежневых дорог на топких болотах</t>
  </si>
  <si>
    <t>п. 3.3</t>
  </si>
  <si>
    <t>Открытые подстанции 35-220 кВ в целом (элегазовое и зарубежное оборудование)</t>
  </si>
  <si>
    <t>Закрытые подстанции 35-220 кВ с открытой установкой трансформаторов (элегазовое и зарубежное оборудование)</t>
  </si>
  <si>
    <t>Макс. напряжение</t>
  </si>
  <si>
    <t>Восстановление дорожного полотна</t>
  </si>
  <si>
    <t>изменено разработчиком, т.к. общая сумма по СУПС больше 100%</t>
  </si>
  <si>
    <t>Подстанции по элементам</t>
  </si>
  <si>
    <t>№п/п</t>
  </si>
  <si>
    <t>Наименование</t>
  </si>
  <si>
    <t>Прочие</t>
  </si>
  <si>
    <t>Год окончания этапа СМР</t>
  </si>
  <si>
    <t>Год окончания этапа Оборудования</t>
  </si>
  <si>
    <t>Год окончания этапа ПНР</t>
  </si>
  <si>
    <t>Год окончания этапа ПИР</t>
  </si>
  <si>
    <t>Год окончания этапа Прочие</t>
  </si>
  <si>
    <t>Итоговая стоимость с учетом директивного снижения</t>
  </si>
  <si>
    <t>Суммарная стоимость лотов по годам с учетом директивного снижения</t>
  </si>
  <si>
    <t>Итого</t>
  </si>
  <si>
    <t>Стоимость строительства в базисных ценах на 01.01.2000 г. *</t>
  </si>
  <si>
    <t>Стоимость строительства в ценах 4 кв. 2012 г. *</t>
  </si>
  <si>
    <t>* − за исключением затрат Заказчика</t>
  </si>
  <si>
    <t>Составляющие стоимости строительства, тыс. руб.</t>
  </si>
  <si>
    <t>СМР с учетом снижения</t>
  </si>
  <si>
    <t>Оборудование с учетом снижения</t>
  </si>
  <si>
    <t>ПНР с учетом снижения</t>
  </si>
  <si>
    <t>ПИР с учетом снижения</t>
  </si>
  <si>
    <t>Прочие затраты с учетом снижения</t>
  </si>
  <si>
    <t>Расчет НМЦ лотов</t>
  </si>
  <si>
    <t>Составил:</t>
  </si>
  <si>
    <t>Стоимость объекта по составляющим стоимости строительства в прогнозных ценах года окончания строительства</t>
  </si>
  <si>
    <t>Стоимость объекта по составляющим стоимости строительства в прогнозных ценах года окончания строительства с учетом директивного снижения</t>
  </si>
  <si>
    <t>Прогнозные цены года окончания работ ПИР:             </t>
  </si>
  <si>
    <t>Прогнозные цены года окончания строительства СМР:</t>
  </si>
  <si>
    <t>Год окончания реализации инвестиционного проекта:</t>
  </si>
  <si>
    <t>Регион:</t>
  </si>
  <si>
    <t>Автоматика и системы ПС</t>
  </si>
  <si>
    <t>Дугогасящий масл. однофазный реактор РЗДСОМ-380/10 У1</t>
  </si>
  <si>
    <t>Дугогасящий масл. однофазный реактор РЗДСОМ-1520/10 У1</t>
  </si>
  <si>
    <t>Дугогасящий масл. однофазный реактор РЗДПОМ-190/10 У1</t>
  </si>
  <si>
    <t>Дугогасящий масл. однофазный реактор РУОМ-480/10 УХЛ1</t>
  </si>
  <si>
    <t>Трехфазный сухой токоогр. реактор РТСТ 10-1000-01,4 У3 внутр. установки</t>
  </si>
  <si>
    <t>Трехфазный сухой токоогр. реактор РТСТ 10-1000-0,35 У3 внутр. установки</t>
  </si>
  <si>
    <t>Трехфазный сухой токоогр. реактор РТСТ 10-1000-0,56 У3 внутр. Установки</t>
  </si>
  <si>
    <t>Трехфазный сухой токоогр. реактор РТСТ 10-1600-0,35 У3 внутр. установки</t>
  </si>
  <si>
    <t>Трехфазный сухой токоогр. реактор РТСТ 10-5000-0,0,1 УХЛ1 3 внутр. установки</t>
  </si>
  <si>
    <t>Одинарный сух.токоогр.реактор РТОС 10-1600-0,25 У3 внутр. установки</t>
  </si>
  <si>
    <t>Одинарный сух.токоогр.реактор РТОС 10-1600-0,35 У3 внутр. установки</t>
  </si>
  <si>
    <t>Одинарный сух.токоогр.реактор РТОС 10-2500-0,35 У3 внутр. установки</t>
  </si>
  <si>
    <t>Одинарный сух.токоогр.реактор РТОС 10-4000-0,25 У3 внутр. установки</t>
  </si>
  <si>
    <t>благоустройство</t>
  </si>
  <si>
    <t>содержание службы заказчика, строительный контроль</t>
  </si>
  <si>
    <t>Дополнительные затраты до 35 кВ вкл. (без землеотвода)</t>
  </si>
  <si>
    <t>Дополнительные затраты выше 35 кВ</t>
  </si>
  <si>
    <t>Непредвиденные затраты</t>
  </si>
  <si>
    <t>МДС81-35-2004
 п. 4.96, приказ Минрегионразвития РФ № 220 от 01.06.2012 г.</t>
  </si>
  <si>
    <t>Постоянный отвод земли под ВЛ</t>
  </si>
  <si>
    <t>В т.ч. по ВЛ</t>
  </si>
  <si>
    <t>В т.ч. по КЛ</t>
  </si>
  <si>
    <t>В т.ч. по ПС</t>
  </si>
  <si>
    <t>Прочие затраты по ВЛ</t>
  </si>
  <si>
    <t>Прочие затраты по КЛ</t>
  </si>
  <si>
    <t>Прочие затраты по ПС</t>
  </si>
  <si>
    <t>С учетом снижения без НДС</t>
  </si>
  <si>
    <t>Кабардино-Балкарская Республика</t>
  </si>
  <si>
    <t>Рязанская область</t>
  </si>
  <si>
    <t>Республика Дагестан</t>
  </si>
  <si>
    <t>Ленинградская область</t>
  </si>
  <si>
    <t>Республика Алтай</t>
  </si>
  <si>
    <t>Алтайский край</t>
  </si>
  <si>
    <t>Кемеровская область</t>
  </si>
  <si>
    <t>Новосибирская область</t>
  </si>
  <si>
    <t>Амурская область</t>
  </si>
  <si>
    <t>Сахалинская область</t>
  </si>
  <si>
    <t>Удельный показатель стоимости</t>
  </si>
  <si>
    <t>ПС целиком</t>
  </si>
  <si>
    <t>Целевое значение Удельного показателя</t>
  </si>
  <si>
    <t>Постоянный отвод земли под КЛ</t>
  </si>
  <si>
    <t>Расц</t>
  </si>
  <si>
    <t>Постоянный отвод земель под КЛ 0,4 кВ и ниже</t>
  </si>
  <si>
    <t xml:space="preserve">Постоянный отвод земель под КЛ выше 0,4 кВ и до 10 кВ </t>
  </si>
  <si>
    <t>Постоянный отвод земель под КЛ 35 кВ</t>
  </si>
  <si>
    <t>Постоянный отвод земель под КЛ 110 кВ и выше</t>
  </si>
  <si>
    <t>Итого по ВЛ в ценах 2000 г. с непредвиденными без НДС</t>
  </si>
  <si>
    <t>п. 4.7</t>
  </si>
  <si>
    <t>П.4.11</t>
  </si>
  <si>
    <t>Здания КРУЭ, ЗРУ до 20 кВ (укомплектованные оборудованием СЖО)</t>
  </si>
  <si>
    <t>Здания КРУЭ, ЗРУ 35 кВ (укомплектованные оборудованием СЖО)</t>
  </si>
  <si>
    <t>Здания КРУЭ, ЗРУ 110 кВ (укомплектованные оборудованием СЖО)</t>
  </si>
  <si>
    <t>Здания КРУЭ, ЗРУ 220 кВ (укомплектованные оборудованием СЖО)</t>
  </si>
  <si>
    <t>Переход 0,4-1,0 кВ ГНБ (1 скважина)</t>
  </si>
  <si>
    <t>Переход 110-220 кВ ГНБ (1 скважина)</t>
  </si>
  <si>
    <t>Переход 0,4-1,0 кВ ГНБ (2 скважины)</t>
  </si>
  <si>
    <t>Переход 110-220 кВ ГНБ (2 скважины)</t>
  </si>
  <si>
    <t>Метод протаскивания трубы (1 скважина)</t>
  </si>
  <si>
    <t>Метод протаскивания трубы (2 скважины)</t>
  </si>
  <si>
    <t>От-клон., %</t>
  </si>
  <si>
    <t>Элегаз</t>
  </si>
  <si>
    <t>Тип ПС</t>
  </si>
  <si>
    <t>Открытая</t>
  </si>
  <si>
    <t>Закрытая</t>
  </si>
  <si>
    <t>Открытые ПС 35 кВ и ниже</t>
  </si>
  <si>
    <t>Открытые ПС элегазовые 35 кВ и ниже</t>
  </si>
  <si>
    <t>Открытые ПС элегазовые 110 кВ и выше</t>
  </si>
  <si>
    <t>Открытые ПС 110 кВ и выше</t>
  </si>
  <si>
    <t>Закрытые ПС 35 кВ и ниже</t>
  </si>
  <si>
    <t>Закрытые ПС 110 кВ и выше</t>
  </si>
  <si>
    <t>Закрытые ПС элегазовые 35 кВ и ниже</t>
  </si>
  <si>
    <t>Закрытые ПС элегазовые 110 кВ и выше</t>
  </si>
  <si>
    <t>Структура затрат по видам ПС</t>
  </si>
  <si>
    <t>Напряж.</t>
  </si>
  <si>
    <t>Тип</t>
  </si>
  <si>
    <t>Прочее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</si>
  <si>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</si>
  <si>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</si>
  <si>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</si>
  <si>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</si>
  <si>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</si>
  <si>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</si>
  <si>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</si>
  <si>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КЛ 110 кВ последующий кабель АПвП2г 300 мм2</t>
  </si>
  <si>
    <t>КЛ 110 кВ последующий кабель A2XS(FL)2Y 300 мм2</t>
  </si>
  <si>
    <t>КЛ 110 кВ последующий кабель МВДТ 550 мм2</t>
  </si>
  <si>
    <t>КЛ 110 кВ последующий кабель АПвП2г 550 мм2</t>
  </si>
  <si>
    <t>КЛ 110 кВ последующий кабель ПвП2г 1000 мм2</t>
  </si>
  <si>
    <t>КЛ 110 кВ последующий кабель ПвП2г 1200 мм2</t>
  </si>
  <si>
    <t>КЛ 220 кВ последующий кабель 2xS(FL)2Y-LWL 1600 мм2</t>
  </si>
  <si>
    <t>КЛ 220 кВ последующий кабель МВДТ 550 мм2</t>
  </si>
  <si>
    <t>КЛ 220 кВ последующий кабель ПвПу2г 2000 мм2</t>
  </si>
  <si>
    <t>год к году</t>
  </si>
  <si>
    <t>н/и</t>
  </si>
  <si>
    <t>Климатические условия</t>
  </si>
  <si>
    <t>Сегменты</t>
  </si>
  <si>
    <t>Республика Карелия</t>
  </si>
  <si>
    <t>Республика Коми</t>
  </si>
  <si>
    <t>Число зон</t>
  </si>
  <si>
    <t>Архангельская область</t>
  </si>
  <si>
    <t>Тюменская область</t>
  </si>
  <si>
    <t>Ямало-Ненецкий а. о.</t>
  </si>
  <si>
    <t>Красноярский край</t>
  </si>
  <si>
    <t>Иркутская область</t>
  </si>
  <si>
    <t>Республика Саха (Якутия)</t>
  </si>
  <si>
    <t>Хабаровский край</t>
  </si>
  <si>
    <t>временные здания и сооружения</t>
  </si>
  <si>
    <t>Постоянный отвод земель под КЛ</t>
  </si>
  <si>
    <t>Площадь</t>
  </si>
  <si>
    <t>Площадь земельных участков для ПС напряжением 6-20 кВ, м2</t>
  </si>
  <si>
    <t>Площадь земельных участков для ПС напряжением 35-220 кВ, м2</t>
  </si>
  <si>
    <t>Переход 3,0-10 кВ ГНБ (1 скважина)</t>
  </si>
  <si>
    <t>Переход 3,0-10 кВ ГНБ (2 скважины)</t>
  </si>
  <si>
    <t>прочие работы и затраты</t>
  </si>
  <si>
    <t>Итого по ПС в ценах 2000 г. с непредвиденными без НДС</t>
  </si>
  <si>
    <t>Итого по КЛ в ценах 2000 г. с непредвиденными без НДС</t>
  </si>
  <si>
    <t>ПИР по КЛ</t>
  </si>
  <si>
    <t xml:space="preserve">  прочие затраты на ВЛ (с учетом землеотводов)</t>
  </si>
  <si>
    <t xml:space="preserve">  прочие затраты на КЛ (с учетом землеотводов)</t>
  </si>
  <si>
    <t xml:space="preserve">  прочие затраты по ПС (с учетом землеотводов)</t>
  </si>
  <si>
    <t>Проверил:</t>
  </si>
  <si>
    <t>по Cбор-нику</t>
  </si>
  <si>
    <t>Итого по главе 1</t>
  </si>
  <si>
    <t>Постоянный отвод земли под КТП</t>
  </si>
  <si>
    <t xml:space="preserve">  строительно-монтажные работы по ВЛ и ТП</t>
  </si>
  <si>
    <t xml:space="preserve">              КТП</t>
  </si>
  <si>
    <t xml:space="preserve">              ВЛ 1-20 кВ и реклоузеры 6-10 кВ</t>
  </si>
  <si>
    <t xml:space="preserve">               ВЛ 1-20 кВ и реклоузеры 6-10 кВ</t>
  </si>
  <si>
    <t xml:space="preserve">               КТП</t>
  </si>
  <si>
    <t xml:space="preserve">  пусконаладочные работы на КТП</t>
  </si>
  <si>
    <t xml:space="preserve">  проектно-изыскательские работы КТП</t>
  </si>
  <si>
    <t xml:space="preserve">  прочие затраты на КТП (с учетом землеотводов)</t>
  </si>
  <si>
    <t xml:space="preserve">  оборудование КТП</t>
  </si>
  <si>
    <t>КТП</t>
  </si>
  <si>
    <t/>
  </si>
  <si>
    <t>№ ИП</t>
  </si>
  <si>
    <t>Письмо Министерства строительства и ЖКХ РФ №3004-ЛС/08 от 06.02.2015 и №3691-ЛС/08 от 12.02.2015</t>
  </si>
  <si>
    <t>Письмо Министерства строительства и ЖКХ РФ №19823-ЮР/08 от 26.06.2015</t>
  </si>
  <si>
    <t>Письмо Министерства строительства и ЖКХ РФ №25760-ЮР/08 от 13.08.2015</t>
  </si>
  <si>
    <t>№ п/п</t>
  </si>
  <si>
    <t>Наименование работ</t>
  </si>
  <si>
    <t>Стоимость работ, тыс. руб.</t>
  </si>
  <si>
    <t>Строительно-монтажные работы</t>
  </si>
  <si>
    <t>Проектно-изыскательские работы</t>
  </si>
  <si>
    <t>НДС, 18 %</t>
  </si>
  <si>
    <t>Итого с НДС (18%)</t>
  </si>
  <si>
    <t>Удельные показатели по письму МРСК № МР2/80-02-04/2581 от 30.03.2015 (изменены в части 2015-2019 гг)</t>
  </si>
  <si>
    <t>ВЛ-110 кВ</t>
  </si>
  <si>
    <t>ВЛ-35 кВ</t>
  </si>
  <si>
    <t>ВЛ 6-10 кВ</t>
  </si>
  <si>
    <t>ВЛ-0,4 кВ</t>
  </si>
  <si>
    <t>КЛ-110 кВ</t>
  </si>
  <si>
    <t>КЛ-35 кВ</t>
  </si>
  <si>
    <t>КЛ 6-10 кВ</t>
  </si>
  <si>
    <t>КЛ-0,4 кВ</t>
  </si>
  <si>
    <t>ПС-110 кВ</t>
  </si>
  <si>
    <t>ПС-35 кВ</t>
  </si>
  <si>
    <t>ТП 6-10 кВ</t>
  </si>
  <si>
    <t>Адреса сетевых ресурсов</t>
  </si>
  <si>
    <t>Месторасположение папки сохранения расчетов</t>
  </si>
  <si>
    <t>"УТВЕРЖДАЮ"</t>
  </si>
  <si>
    <t>Наименование затрат</t>
  </si>
  <si>
    <t>Стоимость, тыс. руб.</t>
  </si>
  <si>
    <t>Укрупненный расчет стоимости</t>
  </si>
  <si>
    <t>Итого в базовых ценах 2000 года</t>
  </si>
  <si>
    <t>Индексы изменения сметной стоимости на 4 кв. 2012 г. по письму Министерства регионально развития РФ №2836-ИП/12/ГС от 03.12.2012</t>
  </si>
  <si>
    <t>Стоимость проектирования в ценах 4 кв. 2012 г.</t>
  </si>
  <si>
    <t>НДС 18%</t>
  </si>
  <si>
    <t>Всего по сводной таблице в текущих (прогнозных) ценах с учетом снижения затрат, тыс. руб. с НДС</t>
  </si>
  <si>
    <t>ПАО "МРСК Северо-Запада"</t>
  </si>
  <si>
    <t>Письмо Министерства строительства и жилищно-коммунального хозяйства Российской Федерации (Минстрой России) № 31523-ХМ/09 от 27.09.2016 г.</t>
  </si>
  <si>
    <t>Письмо Министерства строительства и жилищно-коммунального хозяйства Российской Федерации (Минстрой России) № 41695-ХМ/09 от 09.12.2016 г.</t>
  </si>
  <si>
    <t>Письмо Министерства строительства и жилищно-коммунального хозяйства Российской Федерации (Минстрой России) № 8802-ХМ/09 от 20.03.2017 г.</t>
  </si>
  <si>
    <t xml:space="preserve">Сметный расчет стоимости электросетевых объектов для включения в инвестиционную программу </t>
  </si>
  <si>
    <t>Согласовано:</t>
  </si>
  <si>
    <t xml:space="preserve">Составил: </t>
  </si>
  <si>
    <t xml:space="preserve">Проверил: </t>
  </si>
  <si>
    <t>Реклоузер</t>
  </si>
  <si>
    <t xml:space="preserve">Расчет начальной максимальной цены лота на выполнение работ по объекту: </t>
  </si>
  <si>
    <t>ИТОГО, тыс. руб.</t>
  </si>
  <si>
    <t>Стоимость строительства в базисных ценах на 01.01.2000 г. (за исключением затрат Заказчика)</t>
  </si>
  <si>
    <t>Индексы изменения сметной стоимости 4 кв. 2012 г. по письму Министерства регионально развития РФ №2836-ИП/12/ГС от 03.12.2012</t>
  </si>
  <si>
    <t>Стоимость строительства в ценах 4 кв. 2012 г. (за исключением затрат Заказчика)</t>
  </si>
  <si>
    <t>НМЦ лота, тыс. руб. (с учетом положений действующей методики снижения затрат)</t>
  </si>
  <si>
    <t>с НДС 18%</t>
  </si>
  <si>
    <t>Колэнерго</t>
  </si>
  <si>
    <t>Архэнерго</t>
  </si>
  <si>
    <t>Вологдаэнерго</t>
  </si>
  <si>
    <t>Карелэнерго</t>
  </si>
  <si>
    <t>Комиэнерго</t>
  </si>
  <si>
    <t>Новгородэнерго</t>
  </si>
  <si>
    <t>Псковэнерго</t>
  </si>
  <si>
    <t>введенная</t>
  </si>
  <si>
    <t>Сметный расчет снижения инвестиционных затрат на 30 % относительно уровня 2012 года</t>
  </si>
  <si>
    <t>ВЛ до 20 кВ</t>
  </si>
  <si>
    <t>ВЛ 35 кВ и выше</t>
  </si>
  <si>
    <t>КЛ до 10 кВ</t>
  </si>
  <si>
    <t>КЛ 20 кВ и выше</t>
  </si>
  <si>
    <t>ТП до 10 кВ</t>
  </si>
  <si>
    <t>Письмо Министерства строительства и жилищно-коммунального хозяйства Российской Федерации (Минстрой России) № 20618-ЕС/09 от 09.06.2017 г.</t>
  </si>
  <si>
    <t>Крайний</t>
  </si>
  <si>
    <t>Объект-аналог:
«Реконструкция ПС 110/10 кВ «Айкино» с заменой ОД и КЗ 110 кВ на элегазовые выключатели 110 кВ  (2 шт.),  КРУН-10 кВ в с.Айкино Усть-Вымского района Республики Коми»</t>
  </si>
  <si>
    <t>объем квл</t>
  </si>
  <si>
    <t>зарплата</t>
  </si>
  <si>
    <t>Плановая стоимость объекта в прогнозных ценах года окончания строительства, без НДС</t>
  </si>
  <si>
    <t>в т.ч.</t>
  </si>
  <si>
    <t>Плановая стоимость объекта с учетом снижения инвестиционных затрат, без НДС</t>
  </si>
  <si>
    <t>Освоение всего по видам работ</t>
  </si>
  <si>
    <t xml:space="preserve">Оборудование </t>
  </si>
  <si>
    <t>ЛОТ (ПИР)</t>
  </si>
  <si>
    <t>ЛОТ (СМР)</t>
  </si>
  <si>
    <t>I_005-51-1-03.13-0007</t>
  </si>
  <si>
    <t>года</t>
  </si>
  <si>
    <t>код ИП</t>
  </si>
  <si>
    <t>Нименование ИП</t>
  </si>
  <si>
    <t>Всего, в тыс.руб. без НДС</t>
  </si>
  <si>
    <t>Всего, в тыс.руб. с НДС</t>
  </si>
  <si>
    <t>Погашение процентов по кредитам</t>
  </si>
  <si>
    <t>Прочие затраты, не облагаемые НДС</t>
  </si>
  <si>
    <t>Расчет оценки полной стоимости инвестиционного проекта в прогнозных ценах соответствующих лет по ИП №</t>
  </si>
  <si>
    <t>Техническое перевооружение ПС 110/6,6/6,3 кВ «Воргашорская»: замена ОД и КЗ 110 кВ на элегазовые выключатели 110 кВ (2 шт.) г. Воркута Республика Коми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</si>
  <si>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</si>
  <si>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</si>
  <si>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</si>
  <si>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</si>
  <si>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</si>
  <si>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</si>
  <si>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</si>
  <si>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</si>
  <si>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</si>
  <si>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</si>
  <si>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</si>
  <si>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</si>
  <si>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</si>
  <si>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</si>
  <si>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</si>
  <si>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ФОТ,в т.ч.ЕСН</t>
  </si>
  <si>
    <t>Начальник отдела инвестиций</t>
  </si>
  <si>
    <t>О.Г. Сверчкова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</si>
</sst>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0.0%"/>
    <numFmt numFmtId="167" formatCode="0.000"/>
    <numFmt numFmtId="168" formatCode="#,##0.000"/>
    <numFmt numFmtId="169" formatCode="0.0"/>
    <numFmt numFmtId="170" formatCode="0.0000"/>
    <numFmt numFmtId="171" formatCode="#,##0.0000"/>
    <numFmt numFmtId="172" formatCode="_-* #,##0.000_р_._-;\-* #,##0.000_р_._-;_-* &quot;-&quot;???_р_._-;_-@_-"/>
    <numFmt numFmtId="173" formatCode="_-* #,##0.00000_р_._-;\-* #,##0.00000_р_._-;_-* &quot;-&quot;?????_р_._-;_-@_-"/>
    <numFmt numFmtId="174" formatCode="_(* #,##0_);_(* \(#,##0\);_(* &quot;-&quot;_);_(@_)"/>
    <numFmt numFmtId="175" formatCode="[$-FC19]dd\ mmmm\ yyyy\ \г\.;@"/>
    <numFmt numFmtId="176" formatCode="_(* #,##0.00_);_(* \(#,##0.00\);_(* &quot;-&quot;??_);_(@_)"/>
    <numFmt numFmtId="177" formatCode="[$-F800]dddd\,\ mmmm\ dd\,\ yyyy"/>
    <numFmt numFmtId="178" formatCode="_-* #,##0.0_р_._-;\-* #,##0.0_р_._-;_-* &quot;-&quot;?_р_._-;_-@_-"/>
    <numFmt numFmtId="179" formatCode="_-* #,##0.00_р_._-;\-* #,##0.00_р_._-;_-* &quot;-&quot;?????_р_._-;_-@_-"/>
    <numFmt numFmtId="180" formatCode="_-* #,##0.000_р_._-;\-* #,##0.000_р_._-;_-* &quot;-&quot;?????_р_._-;_-@_-"/>
    <numFmt numFmtId="181" formatCode="#,##0.00000"/>
    <numFmt numFmtId="182" formatCode="#,##0.000000"/>
    <numFmt numFmtId="183" formatCode="0.00000"/>
    <numFmt numFmtId="184" formatCode="_-* #,##0.000\ _₽_-;\-* #,##0.000\ _₽_-;_-* &quot;-&quot;\ _₽_-;_-@_-"/>
    <numFmt numFmtId="185" formatCode="_-* #,##0.00000\ _₽_-;\-* #,##0.00000\ _₽_-;_-* &quot;-&quot;??\ _₽_-;_-@_-"/>
    <numFmt numFmtId="186" formatCode="_-* #,##0.00\ _₽_-;\-* #,##0.00\ _₽_-;_-* &quot;-&quot;\ _₽_-;_-@_-"/>
    <numFmt numFmtId="187" formatCode="_-* #,##0.000\ _₽_-;\-* #,##0.000\ _₽_-;_-* &quot;-&quot;??\ _₽_-;_-@_-"/>
  </numFmts>
  <fonts count="50" x14ac:knownFonts="1">
    <font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11"/>
      <color theme="1" tint="0.499984740745262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b/>
      <sz val="14"/>
      <color rgb="FF7030A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u/>
      <sz val="10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Arial"/>
      <family val="2"/>
    </font>
    <font>
      <sz val="10"/>
      <name val="Arial"/>
      <family val="2"/>
    </font>
    <font>
      <sz val="10"/>
      <color theme="1"/>
      <name val="Arial Unicode MS"/>
      <family val="2"/>
      <charset val="204"/>
    </font>
    <font>
      <sz val="7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Helv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rgb="FFEAF1DD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5">
    <xf numFmtId="0" fontId="0" fillId="0" borderId="0"/>
    <xf numFmtId="0" fontId="24" fillId="0" borderId="0"/>
    <xf numFmtId="0" fontId="24" fillId="0" borderId="0"/>
    <xf numFmtId="0" fontId="33" fillId="0" borderId="0"/>
    <xf numFmtId="0" fontId="37" fillId="0" borderId="0">
      <alignment horizontal="left" vertical="top"/>
    </xf>
    <xf numFmtId="0" fontId="38" fillId="0" borderId="0">
      <alignment horizontal="left" vertical="top"/>
    </xf>
    <xf numFmtId="0" fontId="37" fillId="0" borderId="1">
      <alignment horizontal="center" vertical="center"/>
    </xf>
    <xf numFmtId="0" fontId="37" fillId="0" borderId="5">
      <alignment horizontal="center" vertical="center"/>
    </xf>
    <xf numFmtId="0" fontId="37" fillId="0" borderId="1">
      <alignment horizontal="center" vertical="center"/>
    </xf>
    <xf numFmtId="0" fontId="37" fillId="0" borderId="1">
      <alignment horizontal="center" vertical="center"/>
    </xf>
    <xf numFmtId="0" fontId="37" fillId="0" borderId="6">
      <alignment horizontal="center" vertical="center"/>
    </xf>
    <xf numFmtId="0" fontId="38" fillId="0" borderId="0">
      <alignment horizontal="left" vertical="top"/>
    </xf>
    <xf numFmtId="0" fontId="37" fillId="0" borderId="5">
      <alignment horizontal="center" vertical="center"/>
    </xf>
    <xf numFmtId="0" fontId="37" fillId="0" borderId="1">
      <alignment horizontal="center" vertical="center"/>
    </xf>
    <xf numFmtId="0" fontId="37" fillId="0" borderId="1">
      <alignment horizontal="center" vertical="center"/>
    </xf>
    <xf numFmtId="0" fontId="37" fillId="0" borderId="1">
      <alignment horizontal="center" vertical="center"/>
    </xf>
    <xf numFmtId="0" fontId="37" fillId="0" borderId="6">
      <alignment horizontal="center" vertical="center"/>
    </xf>
    <xf numFmtId="0" fontId="39" fillId="0" borderId="2">
      <alignment horizontal="left" vertical="top"/>
    </xf>
    <xf numFmtId="0" fontId="37" fillId="0" borderId="0">
      <alignment horizontal="right" vertical="top"/>
    </xf>
    <xf numFmtId="0" fontId="37" fillId="0" borderId="0">
      <alignment horizontal="right" vertical="top"/>
    </xf>
    <xf numFmtId="0" fontId="38" fillId="0" borderId="0">
      <alignment horizontal="left" vertical="top"/>
    </xf>
    <xf numFmtId="0" fontId="40" fillId="0" borderId="0">
      <alignment horizontal="left" vertical="top"/>
    </xf>
    <xf numFmtId="0" fontId="40" fillId="0" borderId="0">
      <alignment horizontal="right" vertical="top"/>
    </xf>
    <xf numFmtId="0" fontId="40" fillId="0" borderId="0">
      <alignment horizontal="left" vertical="top"/>
    </xf>
    <xf numFmtId="0" fontId="40" fillId="0" borderId="0">
      <alignment horizontal="right" vertical="top"/>
    </xf>
    <xf numFmtId="0" fontId="40" fillId="0" borderId="0">
      <alignment horizontal="left" vertical="top"/>
    </xf>
    <xf numFmtId="0" fontId="38" fillId="0" borderId="2">
      <alignment horizontal="left" vertical="top"/>
    </xf>
    <xf numFmtId="0" fontId="40" fillId="0" borderId="0">
      <alignment horizontal="righ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0" fillId="0" borderId="0">
      <alignment horizontal="left"/>
    </xf>
    <xf numFmtId="0" fontId="38" fillId="0" borderId="0">
      <alignment horizontal="left" vertical="top"/>
    </xf>
    <xf numFmtId="0" fontId="42" fillId="0" borderId="0"/>
    <xf numFmtId="0" fontId="24" fillId="0" borderId="0"/>
  </cellStyleXfs>
  <cellXfs count="826">
    <xf numFmtId="0" fontId="0" fillId="0" borderId="0" xfId="0"/>
    <xf numFmtId="0" fontId="3" fillId="0" borderId="1" xfId="0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wrapText="1"/>
    </xf>
    <xf numFmtId="0" fontId="9" fillId="0" borderId="1" xfId="0" applyFont="1" applyBorder="1"/>
    <xf numFmtId="0" fontId="12" fillId="0" borderId="0" xfId="0" applyFont="1"/>
    <xf numFmtId="0" fontId="15" fillId="0" borderId="0" xfId="0" applyFont="1"/>
    <xf numFmtId="0" fontId="18" fillId="0" borderId="0" xfId="0" applyFont="1"/>
    <xf numFmtId="0" fontId="16" fillId="0" borderId="1" xfId="0" applyFont="1" applyBorder="1"/>
    <xf numFmtId="0" fontId="17" fillId="0" borderId="1" xfId="0" applyFont="1" applyBorder="1"/>
    <xf numFmtId="166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19" fillId="0" borderId="0" xfId="0" applyFont="1"/>
    <xf numFmtId="0" fontId="19" fillId="0" borderId="1" xfId="0" applyFont="1" applyBorder="1"/>
    <xf numFmtId="0" fontId="14" fillId="0" borderId="0" xfId="0" applyFont="1"/>
    <xf numFmtId="9" fontId="3" fillId="0" borderId="1" xfId="0" applyNumberFormat="1" applyFont="1" applyBorder="1"/>
    <xf numFmtId="166" fontId="3" fillId="0" borderId="0" xfId="0" applyNumberFormat="1" applyFont="1"/>
    <xf numFmtId="0" fontId="9" fillId="0" borderId="1" xfId="0" applyFont="1" applyBorder="1" applyAlignme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1" fillId="0" borderId="0" xfId="0" applyFont="1"/>
    <xf numFmtId="49" fontId="9" fillId="0" borderId="0" xfId="0" applyNumberFormat="1" applyFont="1"/>
    <xf numFmtId="0" fontId="21" fillId="0" borderId="1" xfId="0" applyFont="1" applyBorder="1"/>
    <xf numFmtId="0" fontId="3" fillId="0" borderId="1" xfId="0" applyFont="1" applyBorder="1" applyAlignment="1">
      <alignment horizontal="right"/>
    </xf>
    <xf numFmtId="0" fontId="3" fillId="0" borderId="0" xfId="0" applyNumberFormat="1" applyFont="1"/>
    <xf numFmtId="0" fontId="3" fillId="0" borderId="1" xfId="0" applyFont="1" applyBorder="1" applyAlignment="1"/>
    <xf numFmtId="0" fontId="9" fillId="0" borderId="3" xfId="0" applyFont="1" applyBorder="1" applyAlignment="1">
      <alignment horizontal="left" vertical="center"/>
    </xf>
    <xf numFmtId="0" fontId="20" fillId="0" borderId="0" xfId="0" applyFont="1"/>
    <xf numFmtId="0" fontId="14" fillId="0" borderId="0" xfId="0" applyFont="1" applyAlignment="1">
      <alignment wrapText="1"/>
    </xf>
    <xf numFmtId="0" fontId="3" fillId="0" borderId="1" xfId="0" applyFont="1" applyBorder="1" applyAlignment="1" applyProtection="1">
      <alignment wrapText="1"/>
      <protection locked="0"/>
    </xf>
    <xf numFmtId="0" fontId="3" fillId="0" borderId="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3" fillId="0" borderId="6" xfId="0" applyFont="1" applyBorder="1"/>
    <xf numFmtId="0" fontId="3" fillId="0" borderId="0" xfId="0" applyFont="1" applyFill="1" applyProtection="1">
      <protection locked="0"/>
    </xf>
    <xf numFmtId="0" fontId="3" fillId="0" borderId="0" xfId="0" applyFont="1" applyFill="1" applyProtection="1"/>
    <xf numFmtId="2" fontId="3" fillId="0" borderId="1" xfId="0" applyNumberFormat="1" applyFont="1" applyBorder="1" applyProtection="1">
      <protection locked="0"/>
    </xf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/>
    <xf numFmtId="0" fontId="19" fillId="0" borderId="0" xfId="0" applyFont="1"/>
    <xf numFmtId="0" fontId="3" fillId="0" borderId="1" xfId="0" applyFont="1" applyBorder="1" applyAlignment="1" applyProtection="1">
      <alignment wrapText="1"/>
      <protection locked="0"/>
    </xf>
    <xf numFmtId="0" fontId="14" fillId="0" borderId="1" xfId="0" applyFont="1" applyBorder="1" applyAlignment="1" applyProtection="1">
      <alignment wrapText="1"/>
      <protection locked="0"/>
    </xf>
    <xf numFmtId="0" fontId="3" fillId="0" borderId="1" xfId="0" applyFont="1" applyBorder="1" applyProtection="1">
      <protection locked="0"/>
    </xf>
    <xf numFmtId="2" fontId="3" fillId="0" borderId="1" xfId="0" applyNumberFormat="1" applyFont="1" applyBorder="1" applyProtection="1">
      <protection locked="0"/>
    </xf>
    <xf numFmtId="0" fontId="3" fillId="0" borderId="0" xfId="0" applyFont="1" applyFill="1"/>
    <xf numFmtId="2" fontId="3" fillId="0" borderId="0" xfId="0" applyNumberFormat="1" applyFont="1"/>
    <xf numFmtId="49" fontId="3" fillId="0" borderId="0" xfId="0" applyNumberFormat="1" applyFont="1"/>
    <xf numFmtId="0" fontId="3" fillId="0" borderId="0" xfId="0" applyNumberFormat="1" applyFont="1" applyAlignment="1">
      <alignment horizontal="right"/>
    </xf>
    <xf numFmtId="0" fontId="3" fillId="0" borderId="1" xfId="0" applyFont="1" applyBorder="1"/>
    <xf numFmtId="0" fontId="3" fillId="0" borderId="0" xfId="0" applyFont="1"/>
    <xf numFmtId="0" fontId="3" fillId="0" borderId="1" xfId="0" applyFont="1" applyFill="1" applyBorder="1"/>
    <xf numFmtId="0" fontId="3" fillId="3" borderId="0" xfId="0" applyFont="1" applyFill="1"/>
    <xf numFmtId="0" fontId="3" fillId="0" borderId="0" xfId="0" applyFont="1"/>
    <xf numFmtId="166" fontId="3" fillId="0" borderId="1" xfId="0" applyNumberFormat="1" applyFont="1" applyFill="1" applyBorder="1"/>
    <xf numFmtId="4" fontId="3" fillId="0" borderId="1" xfId="0" applyNumberFormat="1" applyFont="1" applyBorder="1"/>
    <xf numFmtId="0" fontId="10" fillId="0" borderId="0" xfId="0" applyFont="1" applyAlignment="1">
      <alignment horizontal="center"/>
    </xf>
    <xf numFmtId="1" fontId="3" fillId="0" borderId="1" xfId="0" applyNumberFormat="1" applyFont="1" applyBorder="1" applyProtection="1">
      <protection locked="0"/>
    </xf>
    <xf numFmtId="0" fontId="3" fillId="4" borderId="1" xfId="0" applyFont="1" applyFill="1" applyBorder="1"/>
    <xf numFmtId="0" fontId="19" fillId="4" borderId="1" xfId="0" applyFont="1" applyFill="1" applyBorder="1"/>
    <xf numFmtId="1" fontId="19" fillId="4" borderId="1" xfId="0" applyNumberFormat="1" applyFont="1" applyFill="1" applyBorder="1"/>
    <xf numFmtId="0" fontId="3" fillId="4" borderId="0" xfId="0" applyFont="1" applyFill="1"/>
    <xf numFmtId="0" fontId="17" fillId="4" borderId="1" xfId="0" applyFont="1" applyFill="1" applyBorder="1"/>
    <xf numFmtId="0" fontId="15" fillId="0" borderId="0" xfId="0" applyFont="1" applyBorder="1"/>
    <xf numFmtId="4" fontId="15" fillId="0" borderId="1" xfId="0" applyNumberFormat="1" applyFont="1" applyFill="1" applyBorder="1" applyAlignment="1" applyProtection="1">
      <alignment wrapText="1"/>
    </xf>
    <xf numFmtId="0" fontId="20" fillId="0" borderId="0" xfId="0" applyFont="1" applyBorder="1"/>
    <xf numFmtId="0" fontId="15" fillId="0" borderId="0" xfId="0" applyFont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6" borderId="0" xfId="0" applyFont="1" applyFill="1"/>
    <xf numFmtId="2" fontId="3" fillId="6" borderId="0" xfId="0" applyNumberFormat="1" applyFont="1" applyFill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23" fillId="8" borderId="0" xfId="0" applyFont="1" applyFill="1"/>
    <xf numFmtId="4" fontId="3" fillId="6" borderId="1" xfId="0" applyNumberFormat="1" applyFont="1" applyFill="1" applyBorder="1"/>
    <xf numFmtId="4" fontId="3" fillId="0" borderId="0" xfId="0" applyNumberFormat="1" applyFont="1"/>
    <xf numFmtId="4" fontId="3" fillId="6" borderId="0" xfId="0" applyNumberFormat="1" applyFont="1" applyFill="1"/>
    <xf numFmtId="4" fontId="3" fillId="4" borderId="1" xfId="0" applyNumberFormat="1" applyFont="1" applyFill="1" applyBorder="1"/>
    <xf numFmtId="4" fontId="3" fillId="5" borderId="1" xfId="0" applyNumberFormat="1" applyFont="1" applyFill="1" applyBorder="1"/>
    <xf numFmtId="0" fontId="3" fillId="5" borderId="0" xfId="0" applyFont="1" applyFill="1"/>
    <xf numFmtId="2" fontId="3" fillId="5" borderId="1" xfId="0" applyNumberFormat="1" applyFont="1" applyFill="1" applyBorder="1" applyAlignment="1">
      <alignment horizontal="center" vertical="top" wrapText="1"/>
    </xf>
    <xf numFmtId="4" fontId="19" fillId="0" borderId="1" xfId="0" applyNumberFormat="1" applyFont="1" applyBorder="1"/>
    <xf numFmtId="4" fontId="19" fillId="6" borderId="1" xfId="0" applyNumberFormat="1" applyFont="1" applyFill="1" applyBorder="1"/>
    <xf numFmtId="10" fontId="3" fillId="0" borderId="1" xfId="0" applyNumberFormat="1" applyFont="1" applyBorder="1"/>
    <xf numFmtId="10" fontId="3" fillId="6" borderId="1" xfId="0" applyNumberFormat="1" applyFont="1" applyFill="1" applyBorder="1"/>
    <xf numFmtId="4" fontId="19" fillId="0" borderId="0" xfId="0" applyNumberFormat="1" applyFont="1"/>
    <xf numFmtId="4" fontId="19" fillId="6" borderId="0" xfId="0" applyNumberFormat="1" applyFont="1" applyFill="1"/>
    <xf numFmtId="4" fontId="3" fillId="0" borderId="1" xfId="0" applyNumberFormat="1" applyFont="1" applyFill="1" applyBorder="1"/>
    <xf numFmtId="10" fontId="3" fillId="5" borderId="1" xfId="0" applyNumberFormat="1" applyFont="1" applyFill="1" applyBorder="1"/>
    <xf numFmtId="4" fontId="19" fillId="5" borderId="1" xfId="0" applyNumberFormat="1" applyFont="1" applyFill="1" applyBorder="1"/>
    <xf numFmtId="4" fontId="19" fillId="4" borderId="1" xfId="0" applyNumberFormat="1" applyFont="1" applyFill="1" applyBorder="1"/>
    <xf numFmtId="4" fontId="3" fillId="0" borderId="0" xfId="0" applyNumberFormat="1" applyFont="1" applyFill="1"/>
    <xf numFmtId="4" fontId="3" fillId="0" borderId="5" xfId="0" applyNumberFormat="1" applyFont="1" applyBorder="1"/>
    <xf numFmtId="4" fontId="3" fillId="6" borderId="5" xfId="0" applyNumberFormat="1" applyFont="1" applyFill="1" applyBorder="1"/>
    <xf numFmtId="4" fontId="9" fillId="0" borderId="1" xfId="0" applyNumberFormat="1" applyFont="1" applyBorder="1" applyAlignment="1"/>
    <xf numFmtId="4" fontId="3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center" vertical="top"/>
    </xf>
    <xf numFmtId="0" fontId="3" fillId="6" borderId="0" xfId="0" applyFont="1" applyFill="1" applyAlignment="1">
      <alignment horizontal="center" vertical="top"/>
    </xf>
    <xf numFmtId="0" fontId="3" fillId="6" borderId="1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6" borderId="0" xfId="0" applyFont="1" applyFill="1" applyBorder="1" applyAlignment="1">
      <alignment horizontal="center" vertical="top" wrapText="1"/>
    </xf>
    <xf numFmtId="2" fontId="3" fillId="5" borderId="0" xfId="0" applyNumberFormat="1" applyFont="1" applyFill="1" applyBorder="1" applyAlignment="1">
      <alignment horizontal="center" vertical="top" wrapText="1"/>
    </xf>
    <xf numFmtId="4" fontId="19" fillId="5" borderId="0" xfId="0" applyNumberFormat="1" applyFont="1" applyFill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3" fillId="0" borderId="12" xfId="0" applyFont="1" applyBorder="1"/>
    <xf numFmtId="3" fontId="3" fillId="6" borderId="13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4" fontId="3" fillId="0" borderId="0" xfId="0" applyNumberFormat="1" applyFont="1" applyBorder="1"/>
    <xf numFmtId="0" fontId="3" fillId="9" borderId="0" xfId="0" applyFont="1" applyFill="1"/>
    <xf numFmtId="0" fontId="3" fillId="9" borderId="1" xfId="0" applyFont="1" applyFill="1" applyBorder="1"/>
    <xf numFmtId="4" fontId="3" fillId="9" borderId="1" xfId="0" applyNumberFormat="1" applyFont="1" applyFill="1" applyBorder="1"/>
    <xf numFmtId="4" fontId="3" fillId="6" borderId="0" xfId="0" applyNumberFormat="1" applyFont="1" applyFill="1" applyBorder="1"/>
    <xf numFmtId="0" fontId="3" fillId="9" borderId="0" xfId="0" applyFont="1" applyFill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4" borderId="0" xfId="0" applyFont="1" applyFill="1" applyAlignment="1">
      <alignment horizontal="center"/>
    </xf>
    <xf numFmtId="1" fontId="3" fillId="0" borderId="1" xfId="0" applyNumberFormat="1" applyFont="1" applyBorder="1"/>
    <xf numFmtId="0" fontId="9" fillId="5" borderId="0" xfId="0" applyFont="1" applyFill="1"/>
    <xf numFmtId="2" fontId="9" fillId="5" borderId="1" xfId="0" applyNumberFormat="1" applyFont="1" applyFill="1" applyBorder="1" applyAlignment="1">
      <alignment horizontal="center" vertical="top" wrapText="1"/>
    </xf>
    <xf numFmtId="4" fontId="9" fillId="5" borderId="1" xfId="0" applyNumberFormat="1" applyFont="1" applyFill="1" applyBorder="1"/>
    <xf numFmtId="4" fontId="3" fillId="4" borderId="3" xfId="0" applyNumberFormat="1" applyFont="1" applyFill="1" applyBorder="1"/>
    <xf numFmtId="4" fontId="3" fillId="5" borderId="3" xfId="0" applyNumberFormat="1" applyFont="1" applyFill="1" applyBorder="1"/>
    <xf numFmtId="4" fontId="3" fillId="5" borderId="0" xfId="0" applyNumberFormat="1" applyFont="1" applyFill="1" applyBorder="1"/>
    <xf numFmtId="4" fontId="3" fillId="5" borderId="0" xfId="0" applyNumberFormat="1" applyFont="1" applyFill="1"/>
    <xf numFmtId="169" fontId="19" fillId="4" borderId="1" xfId="0" applyNumberFormat="1" applyFont="1" applyFill="1" applyBorder="1"/>
    <xf numFmtId="0" fontId="3" fillId="0" borderId="0" xfId="0" applyFont="1" applyProtection="1"/>
    <xf numFmtId="0" fontId="9" fillId="0" borderId="0" xfId="0" applyFont="1" applyFill="1" applyProtection="1"/>
    <xf numFmtId="0" fontId="3" fillId="0" borderId="0" xfId="0" applyFont="1" applyAlignment="1" applyProtection="1">
      <alignment horizontal="left"/>
    </xf>
    <xf numFmtId="0" fontId="5" fillId="0" borderId="0" xfId="0" applyFont="1" applyProtection="1"/>
    <xf numFmtId="0" fontId="3" fillId="0" borderId="0" xfId="0" applyFont="1" applyFill="1" applyAlignment="1" applyProtection="1">
      <alignment vertical="top" wrapText="1"/>
    </xf>
    <xf numFmtId="0" fontId="3" fillId="0" borderId="0" xfId="0" applyFont="1" applyFill="1" applyAlignment="1" applyProtection="1">
      <alignment wrapText="1"/>
    </xf>
    <xf numFmtId="0" fontId="3" fillId="0" borderId="0" xfId="0" applyFont="1" applyAlignment="1" applyProtection="1">
      <alignment wrapText="1"/>
    </xf>
    <xf numFmtId="0" fontId="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Protection="1"/>
    <xf numFmtId="0" fontId="0" fillId="0" borderId="0" xfId="0" applyFill="1" applyProtection="1"/>
    <xf numFmtId="0" fontId="1" fillId="0" borderId="0" xfId="0" applyFont="1" applyFill="1" applyProtection="1"/>
    <xf numFmtId="0" fontId="7" fillId="0" borderId="0" xfId="0" applyFont="1" applyFill="1" applyProtection="1"/>
    <xf numFmtId="0" fontId="7" fillId="0" borderId="0" xfId="0" applyFont="1" applyProtection="1"/>
    <xf numFmtId="0" fontId="4" fillId="0" borderId="0" xfId="0" applyFont="1" applyProtection="1"/>
    <xf numFmtId="0" fontId="4" fillId="0" borderId="0" xfId="0" applyFont="1" applyFill="1" applyProtection="1"/>
    <xf numFmtId="0" fontId="8" fillId="0" borderId="0" xfId="0" applyFont="1" applyFill="1" applyProtection="1"/>
    <xf numFmtId="0" fontId="8" fillId="0" borderId="0" xfId="0" applyFont="1" applyProtection="1"/>
    <xf numFmtId="0" fontId="0" fillId="0" borderId="0" xfId="0" applyProtection="1">
      <protection locked="0"/>
    </xf>
    <xf numFmtId="0" fontId="3" fillId="4" borderId="0" xfId="0" applyFont="1" applyFill="1" applyProtection="1"/>
    <xf numFmtId="0" fontId="6" fillId="0" borderId="0" xfId="0" applyFont="1" applyAlignment="1" applyProtection="1">
      <alignment horizontal="center"/>
    </xf>
    <xf numFmtId="0" fontId="3" fillId="0" borderId="0" xfId="0" quotePrefix="1" applyFont="1" applyProtection="1"/>
    <xf numFmtId="0" fontId="3" fillId="0" borderId="0" xfId="0" applyFont="1" applyAlignment="1" applyProtection="1">
      <alignment horizontal="right"/>
    </xf>
    <xf numFmtId="0" fontId="3" fillId="0" borderId="1" xfId="0" applyFont="1" applyBorder="1" applyAlignment="1" applyProtection="1">
      <alignment horizontal="center" vertical="top" wrapText="1"/>
    </xf>
    <xf numFmtId="0" fontId="5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/>
    </xf>
    <xf numFmtId="0" fontId="9" fillId="0" borderId="1" xfId="0" applyFont="1" applyBorder="1" applyAlignment="1" applyProtection="1">
      <alignment horizontal="center" vertical="center"/>
    </xf>
    <xf numFmtId="4" fontId="9" fillId="0" borderId="1" xfId="0" applyNumberFormat="1" applyFont="1" applyBorder="1" applyAlignment="1" applyProtection="1">
      <alignment vertical="center"/>
    </xf>
    <xf numFmtId="0" fontId="9" fillId="4" borderId="0" xfId="0" applyFont="1" applyFill="1" applyProtection="1"/>
    <xf numFmtId="0" fontId="9" fillId="0" borderId="0" xfId="0" applyFont="1" applyProtection="1"/>
    <xf numFmtId="0" fontId="3" fillId="0" borderId="1" xfId="0" applyFont="1" applyBorder="1" applyAlignment="1" applyProtection="1">
      <alignment vertical="center" wrapText="1"/>
    </xf>
    <xf numFmtId="4" fontId="3" fillId="0" borderId="1" xfId="0" applyNumberFormat="1" applyFont="1" applyFill="1" applyBorder="1" applyAlignment="1" applyProtection="1">
      <alignment vertical="center"/>
    </xf>
    <xf numFmtId="0" fontId="9" fillId="0" borderId="1" xfId="0" applyFont="1" applyFill="1" applyBorder="1" applyAlignment="1" applyProtection="1">
      <alignment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19" fillId="0" borderId="0" xfId="0" applyFont="1" applyBorder="1" applyAlignment="1">
      <alignment horizontal="right"/>
    </xf>
    <xf numFmtId="166" fontId="3" fillId="0" borderId="0" xfId="0" applyNumberFormat="1" applyFont="1" applyBorder="1"/>
    <xf numFmtId="0" fontId="3" fillId="0" borderId="0" xfId="0" applyNumberFormat="1" applyFont="1" applyBorder="1"/>
    <xf numFmtId="0" fontId="9" fillId="0" borderId="0" xfId="0" applyFont="1" applyBorder="1"/>
    <xf numFmtId="0" fontId="19" fillId="0" borderId="0" xfId="0" applyFont="1" applyBorder="1"/>
    <xf numFmtId="0" fontId="3" fillId="4" borderId="4" xfId="0" applyFont="1" applyFill="1" applyBorder="1" applyAlignment="1">
      <alignment horizontal="center"/>
    </xf>
    <xf numFmtId="0" fontId="3" fillId="4" borderId="4" xfId="0" applyFont="1" applyFill="1" applyBorder="1"/>
    <xf numFmtId="0" fontId="3" fillId="0" borderId="0" xfId="0" applyFont="1" applyFill="1" applyBorder="1" applyAlignment="1">
      <alignment horizontal="center"/>
    </xf>
    <xf numFmtId="2" fontId="3" fillId="0" borderId="1" xfId="0" applyNumberFormat="1" applyFont="1" applyFill="1" applyBorder="1"/>
    <xf numFmtId="2" fontId="19" fillId="0" borderId="1" xfId="0" applyNumberFormat="1" applyFont="1" applyFill="1" applyBorder="1"/>
    <xf numFmtId="2" fontId="9" fillId="0" borderId="1" xfId="0" applyNumberFormat="1" applyFont="1" applyFill="1" applyBorder="1"/>
    <xf numFmtId="0" fontId="3" fillId="0" borderId="0" xfId="0" applyFont="1" applyFill="1" applyBorder="1"/>
    <xf numFmtId="2" fontId="3" fillId="0" borderId="1" xfId="0" applyNumberFormat="1" applyFont="1" applyBorder="1"/>
    <xf numFmtId="4" fontId="3" fillId="0" borderId="0" xfId="0" applyNumberFormat="1" applyFont="1" applyProtection="1"/>
    <xf numFmtId="0" fontId="3" fillId="0" borderId="1" xfId="0" applyFont="1" applyBorder="1" applyAlignment="1">
      <alignment horizontal="center"/>
    </xf>
    <xf numFmtId="0" fontId="19" fillId="0" borderId="1" xfId="0" applyFont="1" applyBorder="1" applyAlignment="1">
      <alignment wrapText="1"/>
    </xf>
    <xf numFmtId="0" fontId="3" fillId="7" borderId="1" xfId="0" applyFont="1" applyFill="1" applyBorder="1" applyProtection="1">
      <protection locked="0"/>
    </xf>
    <xf numFmtId="4" fontId="21" fillId="5" borderId="1" xfId="0" applyNumberFormat="1" applyFont="1" applyFill="1" applyBorder="1"/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9" fillId="0" borderId="0" xfId="0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vertical="center"/>
    </xf>
    <xf numFmtId="0" fontId="3" fillId="5" borderId="0" xfId="0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" fontId="3" fillId="9" borderId="1" xfId="0" applyNumberFormat="1" applyFont="1" applyFill="1" applyBorder="1" applyAlignment="1">
      <alignment horizontal="center" vertical="center"/>
    </xf>
    <xf numFmtId="3" fontId="3" fillId="9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4" fontId="3" fillId="4" borderId="0" xfId="0" applyNumberFormat="1" applyFont="1" applyFill="1" applyProtection="1"/>
    <xf numFmtId="170" fontId="3" fillId="0" borderId="0" xfId="0" applyNumberFormat="1" applyFont="1"/>
    <xf numFmtId="171" fontId="3" fillId="0" borderId="0" xfId="0" applyNumberFormat="1" applyFont="1" applyAlignment="1">
      <alignment horizontal="center" vertical="center"/>
    </xf>
    <xf numFmtId="0" fontId="3" fillId="0" borderId="1" xfId="0" applyFont="1" applyFill="1" applyBorder="1" applyAlignment="1" applyProtection="1">
      <alignment vertical="center" wrapText="1"/>
    </xf>
    <xf numFmtId="171" fontId="3" fillId="9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7" borderId="0" xfId="0" applyFont="1" applyFill="1"/>
    <xf numFmtId="2" fontId="3" fillId="0" borderId="0" xfId="0" applyNumberFormat="1" applyFont="1" applyAlignment="1" applyProtection="1">
      <alignment horizontal="center" vertical="center"/>
    </xf>
    <xf numFmtId="167" fontId="3" fillId="0" borderId="0" xfId="0" applyNumberFormat="1" applyFont="1" applyProtection="1"/>
    <xf numFmtId="10" fontId="3" fillId="0" borderId="0" xfId="0" applyNumberFormat="1" applyFont="1" applyBorder="1" applyProtection="1">
      <protection locked="0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0" fillId="0" borderId="0" xfId="0" applyAlignment="1" applyProtection="1">
      <alignment horizontal="center" vertical="center"/>
    </xf>
    <xf numFmtId="0" fontId="8" fillId="0" borderId="0" xfId="0" applyFont="1" applyFill="1" applyProtection="1">
      <protection locked="0"/>
    </xf>
    <xf numFmtId="0" fontId="3" fillId="0" borderId="0" xfId="0" applyFont="1" applyFill="1" applyAlignment="1" applyProtection="1">
      <alignment horizontal="center" vertical="top" wrapText="1"/>
    </xf>
    <xf numFmtId="2" fontId="3" fillId="0" borderId="0" xfId="0" applyNumberFormat="1" applyFont="1" applyFill="1" applyAlignment="1" applyProtection="1">
      <alignment horizontal="center" vertical="center" wrapText="1"/>
    </xf>
    <xf numFmtId="167" fontId="3" fillId="0" borderId="0" xfId="0" applyNumberFormat="1" applyFont="1" applyFill="1" applyProtection="1"/>
    <xf numFmtId="0" fontId="3" fillId="0" borderId="0" xfId="0" applyFont="1" applyFill="1" applyAlignment="1" applyProtection="1">
      <alignment horizontal="center" vertical="center"/>
    </xf>
    <xf numFmtId="2" fontId="3" fillId="0" borderId="0" xfId="0" applyNumberFormat="1" applyFont="1" applyFill="1" applyAlignment="1" applyProtection="1">
      <alignment horizontal="center" vertical="center"/>
    </xf>
    <xf numFmtId="170" fontId="3" fillId="0" borderId="1" xfId="0" applyNumberFormat="1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" fontId="3" fillId="10" borderId="1" xfId="0" applyNumberFormat="1" applyFont="1" applyFill="1" applyBorder="1"/>
    <xf numFmtId="4" fontId="15" fillId="0" borderId="0" xfId="0" applyNumberFormat="1" applyFont="1" applyBorder="1"/>
    <xf numFmtId="0" fontId="15" fillId="0" borderId="0" xfId="0" applyNumberFormat="1" applyFont="1" applyBorder="1"/>
    <xf numFmtId="167" fontId="3" fillId="5" borderId="0" xfId="0" applyNumberFormat="1" applyFont="1" applyFill="1" applyAlignment="1">
      <alignment horizontal="center" vertical="center"/>
    </xf>
    <xf numFmtId="4" fontId="9" fillId="5" borderId="0" xfId="0" applyNumberFormat="1" applyFont="1" applyFill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Fill="1" applyBorder="1" applyProtection="1">
      <protection locked="0"/>
    </xf>
    <xf numFmtId="4" fontId="23" fillId="11" borderId="0" xfId="0" applyNumberFormat="1" applyFont="1" applyFill="1"/>
    <xf numFmtId="0" fontId="14" fillId="0" borderId="0" xfId="0" applyFont="1" applyFill="1" applyBorder="1" applyAlignment="1" applyProtection="1">
      <alignment horizontal="center" vertical="center" wrapText="1"/>
      <protection locked="0"/>
    </xf>
    <xf numFmtId="49" fontId="10" fillId="0" borderId="0" xfId="0" applyNumberFormat="1" applyFont="1" applyAlignment="1" applyProtection="1">
      <alignment horizontal="left" vertical="top"/>
      <protection hidden="1"/>
    </xf>
    <xf numFmtId="0" fontId="10" fillId="0" borderId="0" xfId="0" applyFont="1" applyAlignment="1" applyProtection="1">
      <alignment horizontal="left" vertical="top"/>
      <protection locked="0"/>
    </xf>
    <xf numFmtId="0" fontId="10" fillId="0" borderId="0" xfId="0" applyFont="1" applyAlignment="1" applyProtection="1">
      <alignment horizontal="right" vertical="top"/>
      <protection locked="0"/>
    </xf>
    <xf numFmtId="0" fontId="10" fillId="0" borderId="0" xfId="0" applyFont="1" applyAlignment="1" applyProtection="1">
      <alignment horizontal="left" vertical="top"/>
      <protection hidden="1"/>
    </xf>
    <xf numFmtId="0" fontId="15" fillId="0" borderId="0" xfId="0" applyFont="1" applyBorder="1" applyAlignment="1" applyProtection="1">
      <alignment horizontal="center" vertical="center" wrapText="1"/>
      <protection locked="0"/>
    </xf>
    <xf numFmtId="172" fontId="15" fillId="0" borderId="1" xfId="0" applyNumberFormat="1" applyFont="1" applyFill="1" applyBorder="1" applyAlignment="1" applyProtection="1">
      <alignment horizontal="right" vertical="center" wrapText="1"/>
    </xf>
    <xf numFmtId="165" fontId="3" fillId="0" borderId="1" xfId="0" applyNumberFormat="1" applyFont="1" applyBorder="1"/>
    <xf numFmtId="165" fontId="3" fillId="9" borderId="1" xfId="0" applyNumberFormat="1" applyFont="1" applyFill="1" applyBorder="1"/>
    <xf numFmtId="165" fontId="3" fillId="4" borderId="1" xfId="0" applyNumberFormat="1" applyFont="1" applyFill="1" applyBorder="1"/>
    <xf numFmtId="165" fontId="3" fillId="4" borderId="4" xfId="0" applyNumberFormat="1" applyFont="1" applyFill="1" applyBorder="1"/>
    <xf numFmtId="165" fontId="3" fillId="0" borderId="0" xfId="0" applyNumberFormat="1" applyFont="1" applyBorder="1"/>
    <xf numFmtId="165" fontId="3" fillId="0" borderId="1" xfId="0" applyNumberFormat="1" applyFont="1" applyFill="1" applyBorder="1"/>
    <xf numFmtId="165" fontId="9" fillId="0" borderId="1" xfId="0" applyNumberFormat="1" applyFont="1" applyBorder="1"/>
    <xf numFmtId="165" fontId="3" fillId="0" borderId="0" xfId="0" applyNumberFormat="1" applyFont="1"/>
    <xf numFmtId="165" fontId="3" fillId="0" borderId="3" xfId="0" applyNumberFormat="1" applyFont="1" applyBorder="1"/>
    <xf numFmtId="165" fontId="9" fillId="0" borderId="1" xfId="0" applyNumberFormat="1" applyFont="1" applyBorder="1" applyAlignment="1"/>
    <xf numFmtId="0" fontId="6" fillId="0" borderId="0" xfId="0" applyFont="1" applyAlignment="1" applyProtection="1">
      <alignment horizontal="center"/>
    </xf>
    <xf numFmtId="0" fontId="3" fillId="12" borderId="0" xfId="0" applyFont="1" applyFill="1" applyAlignment="1" applyProtection="1">
      <alignment horizontal="center" vertical="center"/>
    </xf>
    <xf numFmtId="0" fontId="3" fillId="12" borderId="0" xfId="0" applyFont="1" applyFill="1" applyAlignment="1" applyProtection="1">
      <alignment vertical="top" wrapText="1"/>
    </xf>
    <xf numFmtId="0" fontId="3" fillId="12" borderId="0" xfId="0" applyFont="1" applyFill="1" applyAlignment="1" applyProtection="1">
      <alignment wrapText="1"/>
    </xf>
    <xf numFmtId="2" fontId="3" fillId="12" borderId="0" xfId="0" applyNumberFormat="1" applyFont="1" applyFill="1" applyAlignment="1" applyProtection="1">
      <alignment horizontal="center" vertical="center" wrapText="1"/>
    </xf>
    <xf numFmtId="0" fontId="3" fillId="12" borderId="0" xfId="0" applyFont="1" applyFill="1" applyAlignment="1" applyProtection="1">
      <alignment horizontal="center"/>
    </xf>
    <xf numFmtId="0" fontId="3" fillId="12" borderId="0" xfId="0" applyFont="1" applyFill="1" applyProtection="1"/>
    <xf numFmtId="0" fontId="3" fillId="12" borderId="0" xfId="0" applyFont="1" applyFill="1" applyAlignment="1" applyProtection="1">
      <alignment horizontal="center" vertical="top" wrapText="1"/>
    </xf>
    <xf numFmtId="0" fontId="3" fillId="12" borderId="0" xfId="0" applyFont="1" applyFill="1" applyProtection="1">
      <protection locked="0"/>
    </xf>
    <xf numFmtId="2" fontId="3" fillId="12" borderId="0" xfId="0" applyNumberFormat="1" applyFont="1" applyFill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/>
      <protection locked="0"/>
    </xf>
    <xf numFmtId="0" fontId="15" fillId="0" borderId="1" xfId="0" applyFont="1" applyBorder="1" applyAlignment="1" applyProtection="1">
      <alignment horizontal="center" vertical="center"/>
      <protection hidden="1"/>
    </xf>
    <xf numFmtId="0" fontId="15" fillId="0" borderId="1" xfId="0" applyFont="1" applyBorder="1" applyProtection="1">
      <protection hidden="1"/>
    </xf>
    <xf numFmtId="173" fontId="15" fillId="0" borderId="1" xfId="0" applyNumberFormat="1" applyFont="1" applyBorder="1" applyAlignment="1" applyProtection="1">
      <alignment horizontal="right" vertical="center" wrapText="1"/>
      <protection hidden="1"/>
    </xf>
    <xf numFmtId="0" fontId="15" fillId="0" borderId="0" xfId="0" applyFont="1" applyProtection="1">
      <protection hidden="1"/>
    </xf>
    <xf numFmtId="0" fontId="15" fillId="0" borderId="0" xfId="0" applyFont="1" applyAlignment="1" applyProtection="1">
      <alignment horizontal="right" vertical="center"/>
      <protection hidden="1"/>
    </xf>
    <xf numFmtId="0" fontId="15" fillId="0" borderId="0" xfId="0" applyFont="1" applyAlignment="1" applyProtection="1">
      <alignment wrapText="1"/>
      <protection hidden="1"/>
    </xf>
    <xf numFmtId="0" fontId="0" fillId="0" borderId="1" xfId="0" applyBorder="1" applyProtection="1">
      <protection hidden="1"/>
    </xf>
    <xf numFmtId="174" fontId="0" fillId="0" borderId="1" xfId="0" applyNumberFormat="1" applyBorder="1" applyAlignment="1" applyProtection="1">
      <alignment horizontal="right" vertical="center" wrapText="1"/>
      <protection hidden="1"/>
    </xf>
    <xf numFmtId="0" fontId="19" fillId="0" borderId="0" xfId="0" applyFont="1" applyAlignment="1" applyProtection="1">
      <alignment horizontal="center"/>
    </xf>
    <xf numFmtId="0" fontId="0" fillId="0" borderId="1" xfId="0" applyBorder="1"/>
    <xf numFmtId="0" fontId="0" fillId="0" borderId="1" xfId="0" applyBorder="1" applyProtection="1">
      <protection locked="0"/>
    </xf>
    <xf numFmtId="0" fontId="0" fillId="0" borderId="0" xfId="0" applyProtection="1">
      <protection hidden="1"/>
    </xf>
    <xf numFmtId="0" fontId="0" fillId="0" borderId="0" xfId="0" applyBorder="1" applyAlignment="1" applyProtection="1">
      <protection hidden="1"/>
    </xf>
    <xf numFmtId="173" fontId="3" fillId="0" borderId="21" xfId="0" applyNumberFormat="1" applyFont="1" applyBorder="1" applyAlignment="1" applyProtection="1">
      <alignment horizontal="left" vertical="center" wrapText="1"/>
      <protection hidden="1"/>
    </xf>
    <xf numFmtId="173" fontId="3" fillId="0" borderId="22" xfId="0" applyNumberFormat="1" applyFont="1" applyBorder="1" applyAlignment="1" applyProtection="1">
      <alignment horizontal="center" vertical="center" wrapText="1"/>
    </xf>
    <xf numFmtId="173" fontId="3" fillId="0" borderId="1" xfId="0" applyNumberFormat="1" applyFont="1" applyBorder="1" applyAlignment="1" applyProtection="1">
      <alignment horizontal="left" vertical="center" wrapText="1"/>
      <protection hidden="1"/>
    </xf>
    <xf numFmtId="173" fontId="3" fillId="0" borderId="25" xfId="0" applyNumberFormat="1" applyFont="1" applyBorder="1" applyAlignment="1" applyProtection="1">
      <alignment horizontal="center" vertical="center" wrapText="1"/>
    </xf>
    <xf numFmtId="0" fontId="3" fillId="0" borderId="32" xfId="0" applyFont="1" applyBorder="1" applyAlignment="1" applyProtection="1">
      <alignment horizontal="center" vertical="center"/>
      <protection hidden="1"/>
    </xf>
    <xf numFmtId="176" fontId="3" fillId="0" borderId="1" xfId="0" applyNumberFormat="1" applyFont="1" applyBorder="1" applyAlignment="1" applyProtection="1">
      <alignment horizontal="right" vertical="center" wrapText="1"/>
      <protection hidden="1"/>
    </xf>
    <xf numFmtId="176" fontId="3" fillId="0" borderId="33" xfId="0" applyNumberFormat="1" applyFont="1" applyBorder="1" applyAlignment="1" applyProtection="1">
      <alignment horizontal="center" vertical="center" wrapText="1"/>
    </xf>
    <xf numFmtId="173" fontId="3" fillId="0" borderId="1" xfId="0" applyNumberFormat="1" applyFont="1" applyBorder="1" applyAlignment="1" applyProtection="1">
      <alignment horizontal="right" vertical="center" wrapText="1"/>
      <protection hidden="1"/>
    </xf>
    <xf numFmtId="173" fontId="3" fillId="0" borderId="25" xfId="0" applyNumberFormat="1" applyFont="1" applyBorder="1" applyAlignment="1" applyProtection="1">
      <alignment horizontal="right" vertical="center" wrapText="1"/>
    </xf>
    <xf numFmtId="172" fontId="3" fillId="0" borderId="25" xfId="0" applyNumberFormat="1" applyFont="1" applyBorder="1" applyAlignment="1" applyProtection="1">
      <alignment horizontal="right" vertical="center" wrapText="1"/>
    </xf>
    <xf numFmtId="0" fontId="3" fillId="0" borderId="26" xfId="0" applyFont="1" applyBorder="1" applyAlignment="1" applyProtection="1">
      <alignment horizontal="center" vertical="center"/>
      <protection hidden="1"/>
    </xf>
    <xf numFmtId="173" fontId="3" fillId="0" borderId="30" xfId="0" applyNumberFormat="1" applyFont="1" applyBorder="1" applyAlignment="1" applyProtection="1">
      <alignment horizontal="right" vertical="center" wrapText="1"/>
      <protection hidden="1"/>
    </xf>
    <xf numFmtId="173" fontId="3" fillId="0" borderId="31" xfId="0" applyNumberFormat="1" applyFont="1" applyBorder="1" applyAlignment="1" applyProtection="1">
      <alignment horizontal="right" vertical="center" wrapText="1"/>
    </xf>
    <xf numFmtId="0" fontId="3" fillId="0" borderId="0" xfId="0" applyFont="1" applyProtection="1">
      <protection hidden="1"/>
    </xf>
    <xf numFmtId="0" fontId="3" fillId="0" borderId="0" xfId="0" applyFont="1" applyBorder="1" applyProtection="1">
      <protection hidden="1"/>
    </xf>
    <xf numFmtId="0" fontId="10" fillId="12" borderId="0" xfId="0" applyFont="1" applyFill="1" applyAlignment="1" applyProtection="1">
      <alignment horizontal="center" vertical="top" wrapText="1"/>
    </xf>
    <xf numFmtId="167" fontId="3" fillId="12" borderId="0" xfId="0" applyNumberFormat="1" applyFont="1" applyFill="1" applyProtection="1"/>
    <xf numFmtId="0" fontId="3" fillId="13" borderId="0" xfId="0" applyFont="1" applyFill="1" applyAlignment="1" applyProtection="1">
      <alignment horizontal="center" vertical="center"/>
    </xf>
    <xf numFmtId="0" fontId="3" fillId="13" borderId="0" xfId="0" applyFont="1" applyFill="1" applyAlignment="1" applyProtection="1">
      <alignment vertical="top" wrapText="1"/>
    </xf>
    <xf numFmtId="0" fontId="3" fillId="13" borderId="0" xfId="0" applyFont="1" applyFill="1" applyAlignment="1" applyProtection="1">
      <alignment wrapText="1"/>
    </xf>
    <xf numFmtId="2" fontId="3" fillId="13" borderId="0" xfId="0" applyNumberFormat="1" applyFont="1" applyFill="1" applyAlignment="1" applyProtection="1">
      <alignment horizontal="center" vertical="center" wrapText="1"/>
    </xf>
    <xf numFmtId="0" fontId="3" fillId="13" borderId="0" xfId="0" applyFont="1" applyFill="1" applyAlignment="1" applyProtection="1">
      <alignment horizontal="center"/>
    </xf>
    <xf numFmtId="0" fontId="3" fillId="13" borderId="0" xfId="0" applyFont="1" applyFill="1" applyProtection="1"/>
    <xf numFmtId="0" fontId="3" fillId="13" borderId="0" xfId="0" applyFont="1" applyFill="1" applyAlignment="1" applyProtection="1">
      <alignment horizontal="center" vertical="top" wrapText="1"/>
    </xf>
    <xf numFmtId="0" fontId="3" fillId="13" borderId="0" xfId="0" applyFont="1" applyFill="1" applyProtection="1">
      <protection locked="0"/>
    </xf>
    <xf numFmtId="2" fontId="3" fillId="13" borderId="0" xfId="0" applyNumberFormat="1" applyFont="1" applyFill="1" applyAlignment="1" applyProtection="1">
      <alignment horizontal="center" vertical="center"/>
    </xf>
    <xf numFmtId="167" fontId="3" fillId="13" borderId="0" xfId="0" applyNumberFormat="1" applyFont="1" applyFill="1" applyProtection="1"/>
    <xf numFmtId="4" fontId="3" fillId="0" borderId="1" xfId="0" applyNumberFormat="1" applyFont="1" applyBorder="1" applyAlignment="1">
      <alignment horizontal="right"/>
    </xf>
    <xf numFmtId="0" fontId="3" fillId="14" borderId="0" xfId="0" applyFont="1" applyFill="1" applyAlignment="1" applyProtection="1">
      <alignment horizontal="center" vertical="center"/>
    </xf>
    <xf numFmtId="0" fontId="3" fillId="14" borderId="0" xfId="0" applyFont="1" applyFill="1" applyAlignment="1" applyProtection="1">
      <alignment vertical="top" wrapText="1"/>
    </xf>
    <xf numFmtId="0" fontId="3" fillId="14" borderId="0" xfId="0" applyFont="1" applyFill="1" applyAlignment="1" applyProtection="1">
      <alignment wrapText="1"/>
    </xf>
    <xf numFmtId="2" fontId="3" fillId="14" borderId="0" xfId="0" applyNumberFormat="1" applyFont="1" applyFill="1" applyAlignment="1" applyProtection="1">
      <alignment horizontal="center" vertical="center" wrapText="1"/>
    </xf>
    <xf numFmtId="0" fontId="3" fillId="14" borderId="0" xfId="0" applyFont="1" applyFill="1" applyAlignment="1" applyProtection="1">
      <alignment horizontal="center"/>
    </xf>
    <xf numFmtId="0" fontId="3" fillId="14" borderId="0" xfId="0" applyFont="1" applyFill="1" applyProtection="1"/>
    <xf numFmtId="0" fontId="3" fillId="14" borderId="0" xfId="0" applyFont="1" applyFill="1" applyAlignment="1" applyProtection="1">
      <alignment horizontal="center" vertical="top" wrapText="1"/>
    </xf>
    <xf numFmtId="0" fontId="3" fillId="14" borderId="0" xfId="0" applyFont="1" applyFill="1" applyProtection="1">
      <protection locked="0"/>
    </xf>
    <xf numFmtId="2" fontId="3" fillId="14" borderId="0" xfId="0" applyNumberFormat="1" applyFont="1" applyFill="1" applyAlignment="1" applyProtection="1">
      <alignment horizontal="center" vertical="center"/>
    </xf>
    <xf numFmtId="167" fontId="3" fillId="14" borderId="0" xfId="0" applyNumberFormat="1" applyFont="1" applyFill="1" applyProtection="1"/>
    <xf numFmtId="0" fontId="3" fillId="5" borderId="0" xfId="0" applyFont="1" applyFill="1" applyAlignment="1" applyProtection="1">
      <alignment horizontal="center" vertical="center"/>
    </xf>
    <xf numFmtId="0" fontId="3" fillId="5" borderId="0" xfId="0" applyFont="1" applyFill="1" applyAlignment="1" applyProtection="1">
      <alignment vertical="top" wrapText="1"/>
    </xf>
    <xf numFmtId="0" fontId="3" fillId="5" borderId="0" xfId="0" applyFont="1" applyFill="1" applyAlignment="1" applyProtection="1">
      <alignment wrapText="1"/>
    </xf>
    <xf numFmtId="2" fontId="3" fillId="5" borderId="0" xfId="0" applyNumberFormat="1" applyFont="1" applyFill="1" applyAlignment="1" applyProtection="1">
      <alignment horizontal="center" vertical="center" wrapText="1"/>
    </xf>
    <xf numFmtId="0" fontId="3" fillId="5" borderId="0" xfId="0" applyFont="1" applyFill="1" applyAlignment="1" applyProtection="1">
      <alignment horizontal="center"/>
    </xf>
    <xf numFmtId="0" fontId="3" fillId="5" borderId="0" xfId="0" applyFont="1" applyFill="1" applyProtection="1"/>
    <xf numFmtId="0" fontId="10" fillId="5" borderId="0" xfId="0" applyFont="1" applyFill="1" applyAlignment="1" applyProtection="1">
      <alignment horizontal="center" vertical="top" wrapText="1"/>
    </xf>
    <xf numFmtId="0" fontId="3" fillId="5" borderId="0" xfId="0" applyFont="1" applyFill="1" applyAlignment="1" applyProtection="1">
      <alignment horizontal="center" vertical="top" wrapText="1"/>
    </xf>
    <xf numFmtId="0" fontId="3" fillId="5" borderId="0" xfId="0" applyFont="1" applyFill="1" applyProtection="1">
      <protection locked="0"/>
    </xf>
    <xf numFmtId="2" fontId="3" fillId="5" borderId="0" xfId="0" applyNumberFormat="1" applyFont="1" applyFill="1" applyAlignment="1" applyProtection="1">
      <alignment horizontal="center" vertical="center"/>
    </xf>
    <xf numFmtId="0" fontId="3" fillId="3" borderId="0" xfId="0" applyFont="1" applyFill="1" applyAlignment="1" applyProtection="1">
      <alignment horizontal="center" vertical="center"/>
    </xf>
    <xf numFmtId="0" fontId="3" fillId="3" borderId="0" xfId="0" applyFont="1" applyFill="1" applyAlignment="1" applyProtection="1">
      <alignment vertical="top" wrapText="1"/>
    </xf>
    <xf numFmtId="0" fontId="3" fillId="3" borderId="0" xfId="0" applyFont="1" applyFill="1" applyAlignment="1" applyProtection="1">
      <alignment wrapText="1"/>
    </xf>
    <xf numFmtId="2" fontId="3" fillId="3" borderId="0" xfId="0" applyNumberFormat="1" applyFont="1" applyFill="1" applyAlignment="1" applyProtection="1">
      <alignment horizontal="center" vertical="center" wrapText="1"/>
    </xf>
    <xf numFmtId="0" fontId="3" fillId="3" borderId="0" xfId="0" applyFont="1" applyFill="1" applyAlignment="1" applyProtection="1">
      <alignment horizontal="center"/>
    </xf>
    <xf numFmtId="0" fontId="3" fillId="3" borderId="0" xfId="0" applyFont="1" applyFill="1" applyProtection="1"/>
    <xf numFmtId="0" fontId="3" fillId="3" borderId="0" xfId="0" applyFont="1" applyFill="1" applyAlignment="1" applyProtection="1">
      <alignment horizontal="center" vertical="top" wrapText="1"/>
    </xf>
    <xf numFmtId="0" fontId="3" fillId="3" borderId="0" xfId="0" applyFont="1" applyFill="1" applyProtection="1">
      <protection locked="0"/>
    </xf>
    <xf numFmtId="2" fontId="3" fillId="3" borderId="0" xfId="0" applyNumberFormat="1" applyFont="1" applyFill="1" applyAlignment="1" applyProtection="1">
      <alignment horizontal="center" vertical="center"/>
    </xf>
    <xf numFmtId="0" fontId="3" fillId="15" borderId="0" xfId="0" applyFont="1" applyFill="1" applyAlignment="1" applyProtection="1">
      <alignment horizontal="center" vertical="center"/>
    </xf>
    <xf numFmtId="0" fontId="3" fillId="15" borderId="0" xfId="0" applyFont="1" applyFill="1" applyAlignment="1" applyProtection="1">
      <alignment vertical="top" wrapText="1"/>
    </xf>
    <xf numFmtId="0" fontId="3" fillId="15" borderId="0" xfId="0" applyFont="1" applyFill="1" applyAlignment="1" applyProtection="1">
      <alignment wrapText="1"/>
    </xf>
    <xf numFmtId="2" fontId="3" fillId="15" borderId="0" xfId="0" applyNumberFormat="1" applyFont="1" applyFill="1" applyAlignment="1" applyProtection="1">
      <alignment horizontal="center" vertical="center" wrapText="1"/>
    </xf>
    <xf numFmtId="0" fontId="3" fillId="15" borderId="0" xfId="0" applyFont="1" applyFill="1" applyAlignment="1" applyProtection="1">
      <alignment horizontal="center"/>
    </xf>
    <xf numFmtId="0" fontId="3" fillId="15" borderId="0" xfId="0" applyFont="1" applyFill="1" applyProtection="1"/>
    <xf numFmtId="0" fontId="3" fillId="15" borderId="0" xfId="0" applyFont="1" applyFill="1" applyAlignment="1" applyProtection="1">
      <alignment horizontal="center" vertical="top" wrapText="1"/>
    </xf>
    <xf numFmtId="0" fontId="3" fillId="15" borderId="0" xfId="0" applyFont="1" applyFill="1" applyProtection="1">
      <protection locked="0"/>
    </xf>
    <xf numFmtId="2" fontId="3" fillId="15" borderId="0" xfId="0" applyNumberFormat="1" applyFont="1" applyFill="1" applyAlignment="1" applyProtection="1">
      <alignment horizontal="center" vertical="center"/>
    </xf>
    <xf numFmtId="0" fontId="3" fillId="16" borderId="0" xfId="0" applyFont="1" applyFill="1" applyAlignment="1" applyProtection="1">
      <alignment horizontal="center" vertical="center"/>
    </xf>
    <xf numFmtId="0" fontId="3" fillId="16" borderId="0" xfId="0" applyFont="1" applyFill="1" applyAlignment="1" applyProtection="1">
      <alignment vertical="top" wrapText="1"/>
    </xf>
    <xf numFmtId="0" fontId="3" fillId="16" borderId="0" xfId="0" applyFont="1" applyFill="1" applyAlignment="1" applyProtection="1">
      <alignment wrapText="1"/>
    </xf>
    <xf numFmtId="2" fontId="3" fillId="16" borderId="0" xfId="0" applyNumberFormat="1" applyFont="1" applyFill="1" applyAlignment="1" applyProtection="1">
      <alignment horizontal="center" vertical="center" wrapText="1"/>
    </xf>
    <xf numFmtId="0" fontId="3" fillId="16" borderId="0" xfId="0" applyFont="1" applyFill="1" applyAlignment="1" applyProtection="1">
      <alignment horizontal="center"/>
    </xf>
    <xf numFmtId="0" fontId="3" fillId="16" borderId="0" xfId="0" applyFont="1" applyFill="1" applyProtection="1"/>
    <xf numFmtId="0" fontId="3" fillId="16" borderId="0" xfId="0" applyFont="1" applyFill="1" applyAlignment="1" applyProtection="1">
      <alignment horizontal="center" vertical="top" wrapText="1"/>
    </xf>
    <xf numFmtId="0" fontId="3" fillId="16" borderId="0" xfId="0" applyFont="1" applyFill="1" applyProtection="1">
      <protection locked="0"/>
    </xf>
    <xf numFmtId="2" fontId="3" fillId="16" borderId="0" xfId="0" applyNumberFormat="1" applyFont="1" applyFill="1" applyAlignment="1" applyProtection="1">
      <alignment horizontal="center" vertical="center"/>
    </xf>
    <xf numFmtId="167" fontId="3" fillId="3" borderId="0" xfId="0" applyNumberFormat="1" applyFont="1" applyFill="1" applyProtection="1"/>
    <xf numFmtId="4" fontId="3" fillId="0" borderId="1" xfId="0" applyNumberFormat="1" applyFont="1" applyBorder="1" applyAlignment="1" applyProtection="1">
      <alignment horizontal="center" vertical="center"/>
      <protection locked="0"/>
    </xf>
    <xf numFmtId="2" fontId="9" fillId="0" borderId="0" xfId="0" applyNumberFormat="1" applyFont="1" applyFill="1" applyBorder="1"/>
    <xf numFmtId="4" fontId="3" fillId="0" borderId="0" xfId="0" applyNumberFormat="1" applyFont="1" applyBorder="1" applyAlignment="1">
      <alignment horizontal="right"/>
    </xf>
    <xf numFmtId="9" fontId="3" fillId="0" borderId="0" xfId="0" applyNumberFormat="1" applyFont="1" applyBorder="1"/>
    <xf numFmtId="0" fontId="3" fillId="0" borderId="0" xfId="0" applyFont="1" applyBorder="1" applyAlignment="1" applyProtection="1">
      <alignment vertical="center" wrapText="1"/>
      <protection locked="0"/>
    </xf>
    <xf numFmtId="0" fontId="28" fillId="0" borderId="0" xfId="0" applyFont="1" applyFill="1" applyBorder="1" applyAlignment="1">
      <alignment horizontal="right"/>
    </xf>
    <xf numFmtId="0" fontId="3" fillId="0" borderId="3" xfId="0" applyFont="1" applyBorder="1" applyAlignment="1" applyProtection="1">
      <alignment horizontal="left" vertical="center" wrapText="1"/>
      <protection hidden="1"/>
    </xf>
    <xf numFmtId="2" fontId="0" fillId="0" borderId="1" xfId="0" applyNumberFormat="1" applyBorder="1" applyProtection="1">
      <protection hidden="1"/>
    </xf>
    <xf numFmtId="179" fontId="15" fillId="0" borderId="1" xfId="0" applyNumberFormat="1" applyFont="1" applyBorder="1" applyAlignment="1" applyProtection="1">
      <alignment horizontal="right" vertical="center" wrapText="1"/>
    </xf>
    <xf numFmtId="180" fontId="15" fillId="0" borderId="1" xfId="0" applyNumberFormat="1" applyFont="1" applyBorder="1" applyAlignment="1" applyProtection="1">
      <alignment horizontal="right" vertical="center" wrapText="1"/>
    </xf>
    <xf numFmtId="179" fontId="15" fillId="0" borderId="30" xfId="0" applyNumberFormat="1" applyFont="1" applyBorder="1" applyAlignment="1" applyProtection="1">
      <alignment horizontal="right" vertical="center" wrapText="1"/>
    </xf>
    <xf numFmtId="0" fontId="15" fillId="0" borderId="0" xfId="0" applyFont="1" applyBorder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3" fillId="0" borderId="17" xfId="0" applyFont="1" applyBorder="1" applyAlignment="1" applyProtection="1">
      <alignment horizontal="center" vertical="center" wrapText="1"/>
      <protection hidden="1"/>
    </xf>
    <xf numFmtId="0" fontId="3" fillId="0" borderId="23" xfId="0" applyFont="1" applyBorder="1" applyAlignment="1" applyProtection="1">
      <alignment horizontal="center" vertical="center" wrapText="1"/>
      <protection hidden="1"/>
    </xf>
    <xf numFmtId="0" fontId="3" fillId="0" borderId="23" xfId="0" applyFont="1" applyBorder="1" applyAlignment="1" applyProtection="1">
      <alignment horizontal="center" vertical="center"/>
      <protection hidden="1"/>
    </xf>
    <xf numFmtId="166" fontId="3" fillId="0" borderId="1" xfId="0" applyNumberFormat="1" applyFont="1" applyFill="1" applyBorder="1" applyProtection="1">
      <protection locked="0"/>
    </xf>
    <xf numFmtId="0" fontId="3" fillId="0" borderId="0" xfId="0" applyFont="1" applyBorder="1" applyProtection="1">
      <protection locked="0"/>
    </xf>
    <xf numFmtId="4" fontId="3" fillId="0" borderId="0" xfId="0" applyNumberFormat="1" applyFont="1" applyBorder="1" applyAlignment="1" applyProtection="1">
      <alignment horizontal="right"/>
      <protection locked="0"/>
    </xf>
    <xf numFmtId="4" fontId="3" fillId="0" borderId="0" xfId="0" applyNumberFormat="1" applyFont="1" applyBorder="1" applyProtection="1">
      <protection locked="0"/>
    </xf>
    <xf numFmtId="9" fontId="3" fillId="0" borderId="0" xfId="0" applyNumberFormat="1" applyFont="1" applyBorder="1" applyProtection="1">
      <protection locked="0"/>
    </xf>
    <xf numFmtId="165" fontId="3" fillId="0" borderId="0" xfId="0" applyNumberFormat="1" applyFont="1" applyBorder="1" applyProtection="1">
      <protection locked="0"/>
    </xf>
    <xf numFmtId="0" fontId="25" fillId="0" borderId="0" xfId="0" applyFont="1" applyBorder="1" applyAlignment="1" applyProtection="1">
      <alignment vertical="top"/>
      <protection hidden="1"/>
    </xf>
    <xf numFmtId="4" fontId="3" fillId="0" borderId="0" xfId="0" applyNumberFormat="1" applyFont="1" applyBorder="1" applyAlignment="1" applyProtection="1">
      <alignment horizontal="right"/>
      <protection hidden="1"/>
    </xf>
    <xf numFmtId="4" fontId="3" fillId="0" borderId="0" xfId="0" applyNumberFormat="1" applyFont="1" applyBorder="1" applyProtection="1">
      <protection hidden="1"/>
    </xf>
    <xf numFmtId="9" fontId="3" fillId="0" borderId="0" xfId="0" applyNumberFormat="1" applyFont="1" applyBorder="1" applyProtection="1">
      <protection hidden="1"/>
    </xf>
    <xf numFmtId="165" fontId="3" fillId="0" borderId="0" xfId="0" applyNumberFormat="1" applyFont="1" applyBorder="1" applyProtection="1"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2" fontId="9" fillId="0" borderId="0" xfId="0" applyNumberFormat="1" applyFont="1" applyFill="1" applyBorder="1" applyProtection="1">
      <protection hidden="1"/>
    </xf>
    <xf numFmtId="0" fontId="15" fillId="0" borderId="0" xfId="0" applyFont="1" applyProtection="1"/>
    <xf numFmtId="0" fontId="18" fillId="0" borderId="0" xfId="0" applyFont="1" applyProtection="1"/>
    <xf numFmtId="0" fontId="15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horizontal="center"/>
    </xf>
    <xf numFmtId="0" fontId="15" fillId="0" borderId="4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</xf>
    <xf numFmtId="0" fontId="15" fillId="0" borderId="1" xfId="0" applyFont="1" applyBorder="1" applyProtection="1"/>
    <xf numFmtId="0" fontId="3" fillId="0" borderId="1" xfId="0" applyFont="1" applyBorder="1" applyProtection="1"/>
    <xf numFmtId="172" fontId="15" fillId="2" borderId="1" xfId="0" applyNumberFormat="1" applyFont="1" applyFill="1" applyBorder="1" applyAlignment="1" applyProtection="1">
      <alignment horizontal="right" vertical="center" wrapText="1"/>
    </xf>
    <xf numFmtId="0" fontId="15" fillId="0" borderId="1" xfId="0" applyFont="1" applyBorder="1" applyAlignment="1" applyProtection="1">
      <alignment horizontal="center" vertical="center"/>
    </xf>
    <xf numFmtId="178" fontId="15" fillId="2" borderId="1" xfId="0" applyNumberFormat="1" applyFont="1" applyFill="1" applyBorder="1" applyAlignment="1" applyProtection="1">
      <alignment horizontal="right" vertical="center" wrapText="1"/>
    </xf>
    <xf numFmtId="0" fontId="20" fillId="0" borderId="1" xfId="0" applyFont="1" applyBorder="1" applyProtection="1"/>
    <xf numFmtId="165" fontId="20" fillId="0" borderId="1" xfId="0" applyNumberFormat="1" applyFont="1" applyBorder="1" applyAlignment="1" applyProtection="1">
      <alignment horizontal="right" vertical="center" wrapText="1"/>
    </xf>
    <xf numFmtId="164" fontId="20" fillId="0" borderId="1" xfId="0" applyNumberFormat="1" applyFont="1" applyBorder="1" applyAlignment="1" applyProtection="1">
      <alignment horizontal="right" vertical="center" wrapText="1"/>
    </xf>
    <xf numFmtId="0" fontId="15" fillId="0" borderId="1" xfId="0" applyFont="1" applyBorder="1" applyAlignment="1" applyProtection="1">
      <alignment horizontal="left" vertical="center" wrapText="1"/>
    </xf>
    <xf numFmtId="165" fontId="15" fillId="0" borderId="1" xfId="0" applyNumberFormat="1" applyFont="1" applyBorder="1" applyAlignment="1" applyProtection="1">
      <alignment horizontal="right" vertical="center" wrapText="1"/>
    </xf>
    <xf numFmtId="164" fontId="15" fillId="0" borderId="1" xfId="0" applyNumberFormat="1" applyFont="1" applyBorder="1" applyAlignment="1" applyProtection="1">
      <alignment horizontal="right" vertical="center" wrapText="1"/>
    </xf>
    <xf numFmtId="0" fontId="10" fillId="0" borderId="0" xfId="0" applyFont="1" applyAlignment="1" applyProtection="1">
      <alignment horizontal="left" vertical="top"/>
    </xf>
    <xf numFmtId="0" fontId="10" fillId="0" borderId="0" xfId="0" applyFont="1" applyAlignment="1" applyProtection="1">
      <alignment horizontal="right" vertical="top"/>
    </xf>
    <xf numFmtId="0" fontId="15" fillId="0" borderId="0" xfId="0" applyFont="1" applyAlignment="1" applyProtection="1">
      <alignment horizontal="center"/>
    </xf>
    <xf numFmtId="0" fontId="15" fillId="0" borderId="0" xfId="0" applyFont="1" applyBorder="1" applyProtection="1"/>
    <xf numFmtId="0" fontId="3" fillId="0" borderId="0" xfId="0" applyFont="1" applyFill="1" applyAlignment="1" applyProtection="1"/>
    <xf numFmtId="0" fontId="20" fillId="0" borderId="0" xfId="0" applyFont="1" applyFill="1" applyBorder="1" applyProtection="1"/>
    <xf numFmtId="0" fontId="15" fillId="0" borderId="0" xfId="0" applyFont="1" applyAlignment="1" applyProtection="1"/>
    <xf numFmtId="4" fontId="15" fillId="0" borderId="0" xfId="0" applyNumberFormat="1" applyFont="1" applyProtection="1"/>
    <xf numFmtId="0" fontId="15" fillId="0" borderId="0" xfId="0" applyFont="1" applyFill="1" applyAlignment="1" applyProtection="1"/>
    <xf numFmtId="0" fontId="15" fillId="0" borderId="0" xfId="0" applyFont="1" applyFill="1" applyBorder="1" applyProtection="1"/>
    <xf numFmtId="4" fontId="15" fillId="0" borderId="0" xfId="0" applyNumberFormat="1" applyFont="1" applyBorder="1" applyProtection="1"/>
    <xf numFmtId="0" fontId="15" fillId="0" borderId="0" xfId="0" applyFont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horizontal="center" vertical="center"/>
    </xf>
    <xf numFmtId="0" fontId="20" fillId="0" borderId="0" xfId="0" applyFont="1" applyBorder="1" applyProtection="1"/>
    <xf numFmtId="4" fontId="15" fillId="0" borderId="1" xfId="0" applyNumberFormat="1" applyFont="1" applyBorder="1" applyAlignment="1" applyProtection="1">
      <alignment horizontal="center" wrapText="1"/>
    </xf>
    <xf numFmtId="4" fontId="5" fillId="0" borderId="1" xfId="0" applyNumberFormat="1" applyFont="1" applyBorder="1" applyAlignment="1" applyProtection="1">
      <alignment horizontal="center" wrapText="1"/>
    </xf>
    <xf numFmtId="3" fontId="15" fillId="0" borderId="1" xfId="0" applyNumberFormat="1" applyFont="1" applyBorder="1" applyAlignment="1" applyProtection="1">
      <alignment horizontal="center" vertical="center" wrapText="1"/>
    </xf>
    <xf numFmtId="4" fontId="20" fillId="0" borderId="1" xfId="0" applyNumberFormat="1" applyFont="1" applyBorder="1" applyAlignment="1" applyProtection="1">
      <alignment horizontal="left" vertical="center" wrapText="1"/>
    </xf>
    <xf numFmtId="4" fontId="15" fillId="0" borderId="1" xfId="0" applyNumberFormat="1" applyFont="1" applyBorder="1" applyAlignment="1" applyProtection="1">
      <alignment horizontal="center" vertical="center" wrapText="1"/>
    </xf>
    <xf numFmtId="4" fontId="15" fillId="0" borderId="1" xfId="0" applyNumberFormat="1" applyFont="1" applyFill="1" applyBorder="1" applyAlignment="1" applyProtection="1">
      <alignment horizontal="center" vertical="center" wrapText="1"/>
    </xf>
    <xf numFmtId="4" fontId="20" fillId="0" borderId="1" xfId="0" applyNumberFormat="1" applyFont="1" applyBorder="1" applyAlignment="1" applyProtection="1">
      <alignment horizontal="center" vertical="center" wrapText="1"/>
    </xf>
    <xf numFmtId="4" fontId="15" fillId="0" borderId="1" xfId="0" applyNumberFormat="1" applyFont="1" applyBorder="1" applyAlignment="1" applyProtection="1">
      <alignment wrapText="1"/>
    </xf>
    <xf numFmtId="167" fontId="15" fillId="0" borderId="1" xfId="0" applyNumberFormat="1" applyFont="1" applyFill="1" applyBorder="1" applyAlignment="1" applyProtection="1">
      <alignment horizontal="center" vertical="center"/>
    </xf>
    <xf numFmtId="1" fontId="3" fillId="0" borderId="1" xfId="0" applyNumberFormat="1" applyFont="1" applyBorder="1" applyAlignment="1" applyProtection="1">
      <alignment horizontal="center" vertical="center" wrapText="1"/>
    </xf>
    <xf numFmtId="168" fontId="15" fillId="0" borderId="1" xfId="0" applyNumberFormat="1" applyFont="1" applyFill="1" applyBorder="1" applyAlignment="1" applyProtection="1">
      <alignment horizontal="center" vertical="center" wrapText="1"/>
    </xf>
    <xf numFmtId="1" fontId="23" fillId="0" borderId="1" xfId="0" applyNumberFormat="1" applyFont="1" applyBorder="1" applyAlignment="1" applyProtection="1">
      <alignment horizontal="center" vertical="center" wrapText="1"/>
    </xf>
    <xf numFmtId="4" fontId="20" fillId="0" borderId="1" xfId="0" applyNumberFormat="1" applyFont="1" applyFill="1" applyBorder="1" applyAlignment="1" applyProtection="1">
      <alignment horizontal="left" wrapText="1"/>
    </xf>
    <xf numFmtId="4" fontId="20" fillId="0" borderId="1" xfId="0" applyNumberFormat="1" applyFont="1" applyBorder="1" applyAlignment="1" applyProtection="1">
      <alignment horizontal="center" wrapText="1"/>
    </xf>
    <xf numFmtId="3" fontId="20" fillId="0" borderId="1" xfId="0" applyNumberFormat="1" applyFont="1" applyBorder="1" applyAlignment="1" applyProtection="1">
      <alignment horizontal="center" vertical="center" wrapText="1"/>
    </xf>
    <xf numFmtId="4" fontId="15" fillId="0" borderId="0" xfId="0" applyNumberFormat="1" applyFont="1" applyFill="1" applyBorder="1" applyAlignment="1" applyProtection="1">
      <alignment wrapText="1"/>
    </xf>
    <xf numFmtId="0" fontId="15" fillId="0" borderId="1" xfId="0" applyFont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top"/>
      <protection locked="0"/>
    </xf>
    <xf numFmtId="49" fontId="10" fillId="0" borderId="0" xfId="0" applyNumberFormat="1" applyFont="1" applyAlignment="1" applyProtection="1">
      <alignment horizontal="left" vertical="top"/>
      <protection locked="0" hidden="1"/>
    </xf>
    <xf numFmtId="0" fontId="3" fillId="0" borderId="0" xfId="0" applyFont="1" applyFill="1" applyBorder="1" applyAlignment="1" applyProtection="1">
      <alignment wrapText="1"/>
      <protection locked="0"/>
    </xf>
    <xf numFmtId="0" fontId="3" fillId="0" borderId="0" xfId="0" applyFont="1" applyFill="1" applyBorder="1" applyAlignment="1" applyProtection="1">
      <alignment vertical="center" wrapText="1"/>
      <protection locked="0"/>
    </xf>
    <xf numFmtId="0" fontId="15" fillId="0" borderId="0" xfId="0" applyFont="1" applyBorder="1" applyAlignment="1" applyProtection="1">
      <protection locked="0"/>
    </xf>
    <xf numFmtId="0" fontId="15" fillId="0" borderId="0" xfId="0" applyFont="1" applyBorder="1" applyProtection="1">
      <protection locked="0"/>
    </xf>
    <xf numFmtId="0" fontId="15" fillId="0" borderId="0" xfId="0" applyFont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vertical="top"/>
      <protection locked="0"/>
    </xf>
    <xf numFmtId="0" fontId="20" fillId="0" borderId="0" xfId="0" applyFont="1" applyBorder="1" applyProtection="1">
      <protection locked="0"/>
    </xf>
    <xf numFmtId="0" fontId="15" fillId="0" borderId="0" xfId="0" applyFont="1" applyBorder="1" applyAlignment="1" applyProtection="1">
      <alignment vertical="center" wrapText="1"/>
      <protection locked="0"/>
    </xf>
    <xf numFmtId="0" fontId="3" fillId="0" borderId="0" xfId="0" applyFont="1" applyProtection="1">
      <protection locked="0" hidden="1"/>
    </xf>
    <xf numFmtId="0" fontId="3" fillId="0" borderId="0" xfId="0" applyFont="1" applyBorder="1" applyProtection="1">
      <protection locked="0" hidden="1"/>
    </xf>
    <xf numFmtId="0" fontId="3" fillId="0" borderId="0" xfId="0" applyFont="1" applyAlignment="1" applyProtection="1">
      <alignment horizontal="right" vertical="center"/>
      <protection locked="0" hidden="1"/>
    </xf>
    <xf numFmtId="0" fontId="0" fillId="0" borderId="0" xfId="0" applyProtection="1">
      <protection locked="0" hidden="1"/>
    </xf>
    <xf numFmtId="0" fontId="25" fillId="0" borderId="0" xfId="2" applyFont="1" applyAlignment="1" applyProtection="1">
      <protection locked="0"/>
    </xf>
    <xf numFmtId="0" fontId="0" fillId="0" borderId="0" xfId="2" applyFont="1" applyAlignment="1" applyProtection="1">
      <alignment vertical="center" wrapText="1"/>
      <protection locked="0"/>
    </xf>
    <xf numFmtId="0" fontId="0" fillId="0" borderId="0" xfId="2" applyFont="1" applyAlignment="1" applyProtection="1">
      <alignment vertical="center"/>
      <protection locked="0"/>
    </xf>
    <xf numFmtId="177" fontId="0" fillId="0" borderId="0" xfId="2" applyNumberFormat="1" applyFont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 hidden="1"/>
    </xf>
    <xf numFmtId="0" fontId="3" fillId="0" borderId="0" xfId="0" applyFont="1" applyBorder="1" applyProtection="1"/>
    <xf numFmtId="4" fontId="3" fillId="0" borderId="0" xfId="0" applyNumberFormat="1" applyFont="1" applyBorder="1" applyAlignment="1" applyProtection="1">
      <alignment horizontal="right"/>
    </xf>
    <xf numFmtId="0" fontId="0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top"/>
    </xf>
    <xf numFmtId="0" fontId="0" fillId="0" borderId="0" xfId="0" applyFont="1" applyBorder="1" applyAlignment="1" applyProtection="1">
      <alignment vertical="center" wrapText="1"/>
    </xf>
    <xf numFmtId="2" fontId="9" fillId="0" borderId="0" xfId="0" applyNumberFormat="1" applyFont="1" applyFill="1" applyBorder="1" applyProtection="1"/>
    <xf numFmtId="0" fontId="25" fillId="0" borderId="0" xfId="0" applyFont="1" applyBorder="1" applyAlignment="1" applyProtection="1">
      <alignment horizontal="center" vertical="top"/>
      <protection locked="0" hidden="1"/>
    </xf>
    <xf numFmtId="0" fontId="0" fillId="0" borderId="0" xfId="0" applyFont="1" applyProtection="1">
      <protection locked="0" hidden="1"/>
    </xf>
    <xf numFmtId="0" fontId="24" fillId="0" borderId="0" xfId="0" applyFont="1" applyBorder="1" applyAlignment="1" applyProtection="1">
      <alignment horizontal="right" vertical="center"/>
      <protection locked="0" hidden="1"/>
    </xf>
    <xf numFmtId="177" fontId="26" fillId="0" borderId="0" xfId="0" applyNumberFormat="1" applyFont="1" applyBorder="1" applyAlignment="1" applyProtection="1">
      <alignment horizontal="right" vertical="center"/>
      <protection locked="0" hidden="1"/>
    </xf>
    <xf numFmtId="0" fontId="15" fillId="0" borderId="0" xfId="0" applyFont="1" applyFill="1" applyAlignment="1" applyProtection="1">
      <protection locked="0" hidden="1"/>
    </xf>
    <xf numFmtId="0" fontId="15" fillId="0" borderId="0" xfId="0" applyFont="1" applyAlignment="1" applyProtection="1">
      <alignment horizontal="right"/>
      <protection locked="0" hidden="1"/>
    </xf>
    <xf numFmtId="9" fontId="15" fillId="0" borderId="0" xfId="0" applyNumberFormat="1" applyFont="1" applyBorder="1" applyProtection="1">
      <protection locked="0"/>
    </xf>
    <xf numFmtId="0" fontId="15" fillId="0" borderId="0" xfId="0" applyFont="1" applyAlignment="1" applyProtection="1">
      <alignment horizontal="right"/>
      <protection locked="0"/>
    </xf>
    <xf numFmtId="0" fontId="0" fillId="0" borderId="0" xfId="0" applyFont="1" applyProtection="1">
      <protection locked="0"/>
    </xf>
    <xf numFmtId="0" fontId="0" fillId="0" borderId="0" xfId="0" applyBorder="1" applyAlignment="1" applyProtection="1">
      <alignment horizontal="left" vertical="center"/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176" fontId="0" fillId="0" borderId="0" xfId="0" applyNumberFormat="1" applyBorder="1" applyAlignment="1" applyProtection="1">
      <alignment horizontal="left" vertical="center"/>
      <protection hidden="1"/>
    </xf>
    <xf numFmtId="0" fontId="0" fillId="0" borderId="0" xfId="0" applyBorder="1" applyAlignment="1" applyProtection="1">
      <alignment horizontal="center" vertical="center" wrapText="1"/>
      <protection hidden="1"/>
    </xf>
    <xf numFmtId="0" fontId="0" fillId="0" borderId="0" xfId="0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 applyProtection="1">
      <alignment horizontal="left" vertical="center" wrapText="1"/>
      <protection hidden="1"/>
    </xf>
    <xf numFmtId="173" fontId="0" fillId="0" borderId="0" xfId="0" applyNumberFormat="1" applyBorder="1" applyAlignment="1" applyProtection="1">
      <alignment horizontal="right" vertical="center" wrapText="1"/>
      <protection hidden="1"/>
    </xf>
    <xf numFmtId="173" fontId="0" fillId="0" borderId="0" xfId="0" applyNumberFormat="1" applyBorder="1" applyAlignment="1" applyProtection="1">
      <alignment horizontal="right" vertical="center"/>
      <protection hidden="1"/>
    </xf>
    <xf numFmtId="0" fontId="0" fillId="0" borderId="0" xfId="0" applyBorder="1" applyAlignment="1" applyProtection="1">
      <alignment wrapText="1"/>
      <protection hidden="1"/>
    </xf>
    <xf numFmtId="43" fontId="0" fillId="0" borderId="0" xfId="0" applyNumberFormat="1" applyProtection="1"/>
    <xf numFmtId="173" fontId="20" fillId="0" borderId="25" xfId="0" applyNumberFormat="1" applyFont="1" applyBorder="1" applyAlignment="1" applyProtection="1">
      <alignment horizontal="right" vertical="center" wrapText="1"/>
    </xf>
    <xf numFmtId="0" fontId="3" fillId="0" borderId="1" xfId="0" applyFont="1" applyBorder="1" applyAlignment="1" applyProtection="1">
      <alignment horizontal="left" vertical="center" wrapText="1"/>
      <protection hidden="1"/>
    </xf>
    <xf numFmtId="173" fontId="15" fillId="0" borderId="25" xfId="0" applyNumberFormat="1" applyFont="1" applyBorder="1" applyAlignment="1" applyProtection="1">
      <alignment horizontal="right" vertical="center" wrapText="1"/>
    </xf>
    <xf numFmtId="173" fontId="15" fillId="0" borderId="31" xfId="0" applyNumberFormat="1" applyFont="1" applyBorder="1" applyAlignment="1" applyProtection="1">
      <alignment horizontal="right" vertical="center" wrapText="1"/>
    </xf>
    <xf numFmtId="173" fontId="9" fillId="0" borderId="25" xfId="0" applyNumberFormat="1" applyFont="1" applyBorder="1" applyAlignment="1" applyProtection="1">
      <alignment horizontal="right" vertical="center" wrapText="1"/>
    </xf>
    <xf numFmtId="0" fontId="32" fillId="0" borderId="1" xfId="2" applyFont="1" applyBorder="1" applyAlignment="1">
      <alignment horizontal="center" vertical="center" wrapText="1"/>
    </xf>
    <xf numFmtId="0" fontId="32" fillId="0" borderId="1" xfId="2" applyFont="1" applyBorder="1" applyAlignment="1">
      <alignment vertical="center" wrapText="1"/>
    </xf>
    <xf numFmtId="181" fontId="32" fillId="0" borderId="1" xfId="2" applyNumberFormat="1" applyFont="1" applyBorder="1" applyAlignment="1">
      <alignment horizontal="center" vertical="center" wrapText="1"/>
    </xf>
    <xf numFmtId="0" fontId="25" fillId="0" borderId="1" xfId="2" applyFont="1" applyBorder="1"/>
    <xf numFmtId="182" fontId="25" fillId="0" borderId="1" xfId="2" applyNumberFormat="1" applyFont="1" applyBorder="1"/>
    <xf numFmtId="0" fontId="24" fillId="0" borderId="1" xfId="2" applyFill="1" applyBorder="1"/>
    <xf numFmtId="0" fontId="7" fillId="0" borderId="1" xfId="2" applyFont="1" applyBorder="1" applyAlignment="1">
      <alignment vertical="center" wrapText="1"/>
    </xf>
    <xf numFmtId="181" fontId="7" fillId="0" borderId="1" xfId="2" applyNumberFormat="1" applyFont="1" applyFill="1" applyBorder="1" applyAlignment="1">
      <alignment horizontal="center" vertical="center" wrapText="1"/>
    </xf>
    <xf numFmtId="0" fontId="24" fillId="0" borderId="1" xfId="2" applyFont="1" applyFill="1" applyBorder="1"/>
    <xf numFmtId="0" fontId="24" fillId="0" borderId="1" xfId="2" applyFont="1" applyFill="1" applyBorder="1" applyAlignment="1">
      <alignment horizontal="center"/>
    </xf>
    <xf numFmtId="181" fontId="24" fillId="0" borderId="1" xfId="2" applyNumberFormat="1" applyFont="1" applyBorder="1" applyAlignment="1">
      <alignment horizontal="center"/>
    </xf>
    <xf numFmtId="168" fontId="7" fillId="0" borderId="1" xfId="2" applyNumberFormat="1" applyFont="1" applyBorder="1" applyAlignment="1">
      <alignment horizontal="center" vertical="center" wrapText="1"/>
    </xf>
    <xf numFmtId="167" fontId="24" fillId="0" borderId="1" xfId="2" applyNumberFormat="1" applyBorder="1"/>
    <xf numFmtId="171" fontId="24" fillId="0" borderId="1" xfId="2" applyNumberFormat="1" applyFont="1" applyBorder="1"/>
    <xf numFmtId="4" fontId="0" fillId="0" borderId="0" xfId="0" applyNumberFormat="1"/>
    <xf numFmtId="0" fontId="24" fillId="0" borderId="1" xfId="2" applyFont="1" applyBorder="1"/>
    <xf numFmtId="181" fontId="7" fillId="0" borderId="1" xfId="2" applyNumberFormat="1" applyFont="1" applyBorder="1" applyAlignment="1">
      <alignment horizontal="center" vertical="center" wrapText="1"/>
    </xf>
    <xf numFmtId="168" fontId="24" fillId="0" borderId="1" xfId="2" applyNumberFormat="1" applyFont="1" applyBorder="1"/>
    <xf numFmtId="0" fontId="34" fillId="17" borderId="1" xfId="3" applyFont="1" applyFill="1" applyBorder="1" applyAlignment="1">
      <alignment horizontal="center" vertical="center" wrapText="1"/>
    </xf>
    <xf numFmtId="0" fontId="35" fillId="17" borderId="1" xfId="3" applyFont="1" applyFill="1" applyBorder="1" applyAlignment="1">
      <alignment horizontal="center" vertical="center" wrapText="1"/>
    </xf>
    <xf numFmtId="168" fontId="36" fillId="0" borderId="1" xfId="2" applyNumberFormat="1" applyFont="1" applyBorder="1" applyAlignment="1">
      <alignment horizontal="center" vertical="center" wrapText="1"/>
    </xf>
    <xf numFmtId="168" fontId="36" fillId="18" borderId="1" xfId="2" applyNumberFormat="1" applyFont="1" applyFill="1" applyBorder="1" applyAlignment="1">
      <alignment horizontal="center" vertical="center" wrapText="1"/>
    </xf>
    <xf numFmtId="181" fontId="36" fillId="0" borderId="1" xfId="2" applyNumberFormat="1" applyFont="1" applyBorder="1" applyAlignment="1">
      <alignment horizontal="center" vertical="center" wrapText="1"/>
    </xf>
    <xf numFmtId="183" fontId="36" fillId="0" borderId="1" xfId="2" applyNumberFormat="1" applyFont="1" applyBorder="1" applyAlignment="1">
      <alignment horizontal="center" vertical="center" wrapText="1"/>
    </xf>
    <xf numFmtId="0" fontId="20" fillId="0" borderId="0" xfId="2" applyFont="1" applyAlignment="1"/>
    <xf numFmtId="0" fontId="7" fillId="0" borderId="1" xfId="2" applyFont="1" applyBorder="1" applyAlignment="1">
      <alignment horizontal="center" vertical="center" wrapText="1"/>
    </xf>
    <xf numFmtId="14" fontId="3" fillId="0" borderId="0" xfId="0" applyNumberFormat="1" applyFont="1" applyBorder="1" applyProtection="1">
      <protection locked="0"/>
    </xf>
    <xf numFmtId="0" fontId="24" fillId="0" borderId="0" xfId="34" applyFont="1" applyAlignment="1">
      <alignment horizontal="right" vertical="center"/>
    </xf>
    <xf numFmtId="185" fontId="47" fillId="0" borderId="0" xfId="0" applyNumberFormat="1" applyFont="1" applyProtection="1">
      <protection locked="0"/>
    </xf>
    <xf numFmtId="0" fontId="47" fillId="0" borderId="0" xfId="0" applyFont="1" applyProtection="1">
      <protection locked="0"/>
    </xf>
    <xf numFmtId="0" fontId="43" fillId="0" borderId="0" xfId="0" applyFont="1" applyProtection="1">
      <protection locked="0"/>
    </xf>
    <xf numFmtId="0" fontId="43" fillId="0" borderId="0" xfId="34" applyFont="1" applyAlignment="1">
      <alignment vertical="center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49" fillId="0" borderId="25" xfId="0" applyFont="1" applyBorder="1" applyAlignment="1" applyProtection="1">
      <alignment horizontal="center" vertical="center" wrapText="1"/>
      <protection locked="0"/>
    </xf>
    <xf numFmtId="0" fontId="49" fillId="0" borderId="26" xfId="0" applyFont="1" applyBorder="1" applyAlignment="1" applyProtection="1">
      <alignment horizontal="center" vertical="center" wrapText="1"/>
      <protection locked="0"/>
    </xf>
    <xf numFmtId="0" fontId="49" fillId="0" borderId="30" xfId="0" applyFont="1" applyBorder="1" applyAlignment="1" applyProtection="1">
      <alignment horizontal="center" vertical="center" wrapText="1"/>
      <protection locked="0"/>
    </xf>
    <xf numFmtId="0" fontId="49" fillId="0" borderId="31" xfId="0" applyFont="1" applyBorder="1" applyAlignment="1" applyProtection="1">
      <alignment horizontal="center" vertical="center" wrapText="1"/>
      <protection locked="0"/>
    </xf>
    <xf numFmtId="0" fontId="48" fillId="0" borderId="26" xfId="0" applyFont="1" applyBorder="1" applyAlignment="1" applyProtection="1">
      <alignment horizontal="center" vertical="center" wrapText="1"/>
      <protection locked="0"/>
    </xf>
    <xf numFmtId="0" fontId="48" fillId="0" borderId="30" xfId="0" applyFont="1" applyBorder="1" applyAlignment="1" applyProtection="1">
      <alignment horizontal="center" vertical="center" wrapText="1"/>
      <protection locked="0"/>
    </xf>
    <xf numFmtId="0" fontId="48" fillId="0" borderId="31" xfId="0" applyFont="1" applyBorder="1" applyAlignment="1" applyProtection="1">
      <alignment horizontal="center" vertical="center" wrapText="1"/>
      <protection locked="0"/>
    </xf>
    <xf numFmtId="0" fontId="5" fillId="0" borderId="42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48" fillId="0" borderId="17" xfId="0" applyFont="1" applyBorder="1" applyAlignment="1" applyProtection="1">
      <alignment horizontal="center" vertical="center" wrapText="1"/>
      <protection locked="0"/>
    </xf>
    <xf numFmtId="0" fontId="48" fillId="0" borderId="21" xfId="0" applyFont="1" applyBorder="1" applyAlignment="1" applyProtection="1">
      <alignment horizontal="center" vertical="center" wrapText="1"/>
      <protection locked="0"/>
    </xf>
    <xf numFmtId="0" fontId="48" fillId="0" borderId="22" xfId="0" applyFont="1" applyBorder="1" applyAlignment="1" applyProtection="1">
      <alignment horizontal="center" vertical="center" wrapText="1"/>
      <protection locked="0"/>
    </xf>
    <xf numFmtId="0" fontId="48" fillId="0" borderId="15" xfId="0" applyFont="1" applyBorder="1" applyAlignment="1" applyProtection="1">
      <alignment horizontal="center" vertical="center" wrapText="1"/>
      <protection locked="0"/>
    </xf>
    <xf numFmtId="0" fontId="48" fillId="0" borderId="10" xfId="0" applyFont="1" applyBorder="1" applyAlignment="1" applyProtection="1">
      <alignment horizontal="center" vertical="center" wrapText="1"/>
      <protection locked="0"/>
    </xf>
    <xf numFmtId="0" fontId="48" fillId="0" borderId="16" xfId="0" applyFont="1" applyBorder="1" applyAlignment="1" applyProtection="1">
      <alignment horizontal="center" vertical="center" wrapText="1"/>
      <protection locked="0"/>
    </xf>
    <xf numFmtId="0" fontId="5" fillId="0" borderId="17" xfId="0" applyFont="1" applyBorder="1" applyAlignment="1" applyProtection="1">
      <alignment horizontal="center" vertical="center" wrapText="1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40" xfId="0" applyFont="1" applyBorder="1" applyAlignment="1" applyProtection="1">
      <alignment horizontal="center" vertical="center" wrapText="1"/>
      <protection locked="0"/>
    </xf>
    <xf numFmtId="0" fontId="5" fillId="0" borderId="26" xfId="0" applyFont="1" applyBorder="1" applyAlignment="1" applyProtection="1">
      <alignment horizontal="center" vertical="center" wrapText="1"/>
      <protection locked="0"/>
    </xf>
    <xf numFmtId="0" fontId="5" fillId="0" borderId="30" xfId="0" applyFont="1" applyBorder="1" applyAlignment="1" applyProtection="1">
      <alignment horizontal="center" vertical="center" wrapText="1"/>
      <protection locked="0"/>
    </xf>
    <xf numFmtId="0" fontId="5" fillId="0" borderId="30" xfId="0" applyFont="1" applyBorder="1" applyAlignment="1" applyProtection="1">
      <alignment horizontal="left" vertical="center" wrapText="1"/>
      <protection locked="0"/>
    </xf>
    <xf numFmtId="186" fontId="5" fillId="0" borderId="34" xfId="0" applyNumberFormat="1" applyFont="1" applyBorder="1" applyAlignment="1" applyProtection="1">
      <alignment vertical="center" wrapText="1"/>
      <protection locked="0"/>
    </xf>
    <xf numFmtId="186" fontId="5" fillId="0" borderId="26" xfId="0" applyNumberFormat="1" applyFont="1" applyBorder="1" applyAlignment="1" applyProtection="1">
      <alignment horizontal="center" vertical="center" wrapText="1"/>
      <protection locked="0"/>
    </xf>
    <xf numFmtId="186" fontId="5" fillId="0" borderId="30" xfId="0" applyNumberFormat="1" applyFont="1" applyBorder="1" applyAlignment="1" applyProtection="1">
      <alignment horizontal="center" vertical="center" wrapText="1"/>
      <protection locked="0"/>
    </xf>
    <xf numFmtId="186" fontId="5" fillId="0" borderId="31" xfId="0" applyNumberFormat="1" applyFont="1" applyBorder="1" applyAlignment="1" applyProtection="1">
      <alignment horizontal="center" vertical="center" wrapText="1"/>
      <protection locked="0"/>
    </xf>
    <xf numFmtId="186" fontId="5" fillId="0" borderId="36" xfId="0" applyNumberFormat="1" applyFont="1" applyBorder="1" applyAlignment="1" applyProtection="1">
      <alignment horizontal="center" vertical="center" wrapText="1"/>
      <protection locked="0"/>
    </xf>
    <xf numFmtId="186" fontId="5" fillId="0" borderId="34" xfId="0" applyNumberFormat="1" applyFont="1" applyBorder="1" applyAlignment="1" applyProtection="1">
      <alignment horizontal="center" vertical="center" wrapText="1"/>
      <protection locked="0"/>
    </xf>
    <xf numFmtId="186" fontId="46" fillId="0" borderId="35" xfId="0" applyNumberFormat="1" applyFont="1" applyBorder="1" applyAlignment="1" applyProtection="1">
      <alignment horizontal="center" vertical="center" wrapText="1"/>
      <protection locked="0"/>
    </xf>
    <xf numFmtId="186" fontId="46" fillId="0" borderId="31" xfId="0" applyNumberFormat="1" applyFont="1" applyBorder="1" applyAlignment="1" applyProtection="1">
      <alignment horizontal="center" vertical="center" wrapText="1"/>
      <protection locked="0"/>
    </xf>
    <xf numFmtId="187" fontId="47" fillId="0" borderId="0" xfId="0" applyNumberFormat="1" applyFont="1" applyProtection="1">
      <protection locked="0"/>
    </xf>
    <xf numFmtId="43" fontId="47" fillId="0" borderId="0" xfId="0" applyNumberFormat="1" applyFont="1" applyAlignment="1" applyProtection="1">
      <alignment horizontal="center" vertical="center"/>
      <protection locked="0"/>
    </xf>
    <xf numFmtId="43" fontId="47" fillId="0" borderId="0" xfId="0" applyNumberFormat="1" applyFont="1" applyProtection="1">
      <protection locked="0"/>
    </xf>
    <xf numFmtId="0" fontId="44" fillId="0" borderId="0" xfId="0" applyFont="1" applyBorder="1" applyAlignment="1" applyProtection="1">
      <alignment horizontal="center" vertical="center"/>
      <protection locked="0"/>
    </xf>
    <xf numFmtId="164" fontId="44" fillId="0" borderId="0" xfId="0" applyNumberFormat="1" applyFont="1" applyBorder="1" applyAlignment="1" applyProtection="1">
      <alignment horizontal="center" vertical="center" wrapText="1"/>
      <protection hidden="1"/>
    </xf>
    <xf numFmtId="186" fontId="44" fillId="0" borderId="0" xfId="0" applyNumberFormat="1" applyFont="1" applyBorder="1" applyAlignment="1" applyProtection="1">
      <alignment horizontal="center" vertical="center"/>
      <protection locked="0"/>
    </xf>
    <xf numFmtId="184" fontId="44" fillId="0" borderId="0" xfId="0" applyNumberFormat="1" applyFont="1" applyBorder="1" applyAlignment="1" applyProtection="1">
      <alignment horizontal="center" vertical="center"/>
      <protection locked="0"/>
    </xf>
    <xf numFmtId="0" fontId="44" fillId="0" borderId="0" xfId="0" applyFont="1" applyProtection="1">
      <protection locked="0"/>
    </xf>
    <xf numFmtId="0" fontId="0" fillId="0" borderId="0" xfId="0" applyAlignment="1" applyProtection="1">
      <alignment vertical="center"/>
      <protection locked="0"/>
    </xf>
    <xf numFmtId="14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NumberFormat="1" applyAlignment="1" applyProtection="1">
      <alignment horizontal="left" vertical="top"/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25" fillId="0" borderId="0" xfId="0" applyFont="1" applyBorder="1" applyAlignment="1" applyProtection="1">
      <alignment horizontal="center" vertical="top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24" fillId="0" borderId="0" xfId="0" applyFont="1" applyBorder="1" applyAlignment="1" applyProtection="1">
      <alignment horizontal="right" vertical="center"/>
      <protection locked="0"/>
    </xf>
    <xf numFmtId="177" fontId="26" fillId="0" borderId="0" xfId="0" applyNumberFormat="1" applyFont="1" applyBorder="1" applyAlignment="1" applyProtection="1">
      <alignment horizontal="right" vertical="center"/>
      <protection hidden="1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 vertical="center"/>
      <protection hidden="1"/>
    </xf>
    <xf numFmtId="0" fontId="20" fillId="0" borderId="0" xfId="0" applyFont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right"/>
    </xf>
    <xf numFmtId="4" fontId="3" fillId="0" borderId="5" xfId="0" applyNumberFormat="1" applyFont="1" applyBorder="1" applyAlignment="1">
      <alignment horizontal="right"/>
    </xf>
    <xf numFmtId="4" fontId="3" fillId="0" borderId="6" xfId="0" applyNumberFormat="1" applyFont="1" applyFill="1" applyBorder="1" applyAlignment="1">
      <alignment horizontal="right"/>
    </xf>
    <xf numFmtId="4" fontId="3" fillId="0" borderId="5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4" fontId="9" fillId="0" borderId="1" xfId="0" applyNumberFormat="1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9" fillId="0" borderId="6" xfId="0" applyFont="1" applyBorder="1" applyAlignment="1">
      <alignment horizontal="right" vertical="center"/>
    </xf>
    <xf numFmtId="0" fontId="19" fillId="0" borderId="7" xfId="0" applyFont="1" applyBorder="1" applyAlignment="1">
      <alignment horizontal="right" vertical="center"/>
    </xf>
    <xf numFmtId="0" fontId="19" fillId="0" borderId="5" xfId="0" applyFont="1" applyBorder="1" applyAlignment="1">
      <alignment horizontal="right" vertical="center"/>
    </xf>
    <xf numFmtId="0" fontId="20" fillId="0" borderId="0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center" wrapText="1"/>
      <protection locked="0"/>
    </xf>
    <xf numFmtId="0" fontId="3" fillId="0" borderId="5" xfId="0" applyFont="1" applyBorder="1" applyAlignment="1" applyProtection="1">
      <alignment horizontal="center" wrapText="1"/>
      <protection locked="0"/>
    </xf>
    <xf numFmtId="0" fontId="15" fillId="0" borderId="1" xfId="0" applyFont="1" applyBorder="1" applyAlignment="1">
      <alignment horizontal="center" vertical="center"/>
    </xf>
    <xf numFmtId="0" fontId="3" fillId="0" borderId="0" xfId="0" applyFont="1" applyBorder="1" applyAlignment="1" applyProtection="1">
      <alignment horizontal="left" vertical="center" wrapText="1"/>
      <protection locked="0"/>
    </xf>
    <xf numFmtId="4" fontId="9" fillId="0" borderId="1" xfId="0" applyNumberFormat="1" applyFont="1" applyBorder="1" applyAlignment="1">
      <alignment horizontal="center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/>
    </xf>
    <xf numFmtId="0" fontId="15" fillId="0" borderId="1" xfId="0" applyFont="1" applyBorder="1" applyAlignment="1" applyProtection="1">
      <alignment horizontal="center" wrapText="1"/>
    </xf>
    <xf numFmtId="0" fontId="15" fillId="0" borderId="1" xfId="0" applyFont="1" applyBorder="1" applyAlignment="1" applyProtection="1">
      <alignment horizontal="center" vertical="top" wrapText="1"/>
    </xf>
    <xf numFmtId="0" fontId="15" fillId="0" borderId="1" xfId="0" applyFont="1" applyBorder="1" applyAlignment="1" applyProtection="1">
      <alignment horizontal="center"/>
    </xf>
    <xf numFmtId="0" fontId="15" fillId="0" borderId="6" xfId="0" applyFont="1" applyBorder="1" applyAlignment="1" applyProtection="1">
      <alignment horizontal="center" vertical="center" wrapText="1"/>
    </xf>
    <xf numFmtId="0" fontId="15" fillId="0" borderId="7" xfId="0" applyFont="1" applyBorder="1" applyAlignment="1" applyProtection="1">
      <alignment horizontal="center" vertical="center" wrapText="1"/>
    </xf>
    <xf numFmtId="0" fontId="15" fillId="0" borderId="5" xfId="0" applyFont="1" applyBorder="1" applyAlignment="1" applyProtection="1">
      <alignment horizontal="center" vertical="center" wrapText="1"/>
    </xf>
    <xf numFmtId="0" fontId="15" fillId="0" borderId="4" xfId="0" applyFont="1" applyBorder="1" applyAlignment="1" applyProtection="1">
      <alignment horizontal="left" vertical="center"/>
    </xf>
    <xf numFmtId="0" fontId="15" fillId="0" borderId="3" xfId="0" applyFont="1" applyBorder="1" applyAlignment="1" applyProtection="1">
      <alignment horizontal="left" vertical="center"/>
    </xf>
    <xf numFmtId="0" fontId="15" fillId="0" borderId="8" xfId="0" applyFont="1" applyBorder="1" applyAlignment="1" applyProtection="1">
      <alignment horizontal="left" vertical="center" wrapText="1"/>
    </xf>
    <xf numFmtId="0" fontId="15" fillId="0" borderId="14" xfId="0" applyFont="1" applyBorder="1" applyAlignment="1" applyProtection="1">
      <alignment horizontal="left" vertical="center" wrapText="1"/>
    </xf>
    <xf numFmtId="0" fontId="15" fillId="0" borderId="9" xfId="0" applyFont="1" applyBorder="1" applyAlignment="1" applyProtection="1">
      <alignment horizontal="left" vertical="center" wrapText="1"/>
    </xf>
    <xf numFmtId="0" fontId="15" fillId="0" borderId="15" xfId="0" applyFont="1" applyBorder="1" applyAlignment="1" applyProtection="1">
      <alignment horizontal="left" vertical="center" wrapText="1"/>
    </xf>
    <xf numFmtId="4" fontId="20" fillId="0" borderId="4" xfId="0" applyNumberFormat="1" applyFont="1" applyBorder="1" applyAlignment="1" applyProtection="1">
      <alignment horizontal="center" vertical="center" wrapText="1"/>
    </xf>
    <xf numFmtId="4" fontId="20" fillId="0" borderId="10" xfId="0" applyNumberFormat="1" applyFont="1" applyBorder="1" applyAlignment="1" applyProtection="1">
      <alignment horizontal="center" vertical="center" wrapText="1"/>
    </xf>
    <xf numFmtId="4" fontId="20" fillId="0" borderId="3" xfId="0" applyNumberFormat="1" applyFont="1" applyBorder="1" applyAlignment="1" applyProtection="1">
      <alignment horizontal="center" vertical="center" wrapText="1"/>
    </xf>
    <xf numFmtId="4" fontId="22" fillId="0" borderId="6" xfId="0" applyNumberFormat="1" applyFont="1" applyFill="1" applyBorder="1" applyAlignment="1" applyProtection="1">
      <alignment horizontal="left" vertical="center" wrapText="1"/>
    </xf>
    <xf numFmtId="4" fontId="22" fillId="0" borderId="7" xfId="0" applyNumberFormat="1" applyFont="1" applyFill="1" applyBorder="1" applyAlignment="1" applyProtection="1">
      <alignment horizontal="left" vertical="center" wrapText="1"/>
    </xf>
    <xf numFmtId="4" fontId="22" fillId="0" borderId="5" xfId="0" applyNumberFormat="1" applyFont="1" applyFill="1" applyBorder="1" applyAlignment="1" applyProtection="1">
      <alignment horizontal="left" vertical="center" wrapText="1"/>
    </xf>
    <xf numFmtId="0" fontId="3" fillId="0" borderId="2" xfId="0" applyFont="1" applyBorder="1" applyAlignment="1" applyProtection="1">
      <alignment horizontal="center" wrapText="1"/>
    </xf>
    <xf numFmtId="0" fontId="6" fillId="0" borderId="11" xfId="0" applyFont="1" applyBorder="1" applyAlignment="1" applyProtection="1">
      <alignment horizontal="center"/>
    </xf>
    <xf numFmtId="3" fontId="15" fillId="0" borderId="4" xfId="0" applyNumberFormat="1" applyFont="1" applyBorder="1" applyAlignment="1" applyProtection="1">
      <alignment horizontal="center" vertical="center" wrapText="1"/>
    </xf>
    <xf numFmtId="3" fontId="15" fillId="0" borderId="10" xfId="0" applyNumberFormat="1" applyFont="1" applyBorder="1" applyAlignment="1" applyProtection="1">
      <alignment horizontal="center" vertical="center" wrapText="1"/>
    </xf>
    <xf numFmtId="3" fontId="15" fillId="0" borderId="3" xfId="0" applyNumberFormat="1" applyFont="1" applyBorder="1" applyAlignment="1" applyProtection="1">
      <alignment horizontal="center" vertical="center" wrapText="1"/>
    </xf>
    <xf numFmtId="4" fontId="20" fillId="0" borderId="6" xfId="0" applyNumberFormat="1" applyFont="1" applyBorder="1" applyAlignment="1" applyProtection="1">
      <alignment horizontal="left" wrapText="1"/>
    </xf>
    <xf numFmtId="4" fontId="20" fillId="0" borderId="7" xfId="0" applyNumberFormat="1" applyFont="1" applyBorder="1" applyAlignment="1" applyProtection="1">
      <alignment horizontal="left" wrapText="1"/>
    </xf>
    <xf numFmtId="4" fontId="20" fillId="0" borderId="5" xfId="0" applyNumberFormat="1" applyFont="1" applyBorder="1" applyAlignment="1" applyProtection="1">
      <alignment horizontal="left" wrapText="1"/>
    </xf>
    <xf numFmtId="3" fontId="15" fillId="0" borderId="1" xfId="0" applyNumberFormat="1" applyFont="1" applyBorder="1" applyAlignment="1" applyProtection="1">
      <alignment horizontal="center" vertical="center" wrapText="1"/>
    </xf>
    <xf numFmtId="4" fontId="15" fillId="0" borderId="4" xfId="0" applyNumberFormat="1" applyFont="1" applyBorder="1" applyAlignment="1" applyProtection="1">
      <alignment horizontal="center" vertical="center" wrapText="1"/>
    </xf>
    <xf numFmtId="4" fontId="15" fillId="0" borderId="3" xfId="0" applyNumberFormat="1" applyFont="1" applyBorder="1" applyAlignment="1" applyProtection="1">
      <alignment horizontal="center" vertical="center" wrapText="1"/>
    </xf>
    <xf numFmtId="4" fontId="15" fillId="0" borderId="4" xfId="0" applyNumberFormat="1" applyFont="1" applyBorder="1" applyAlignment="1" applyProtection="1">
      <alignment horizontal="center" vertical="top" wrapText="1"/>
    </xf>
    <xf numFmtId="4" fontId="15" fillId="0" borderId="3" xfId="0" applyNumberFormat="1" applyFont="1" applyBorder="1" applyAlignment="1" applyProtection="1">
      <alignment horizontal="center" vertical="top" wrapText="1"/>
    </xf>
    <xf numFmtId="0" fontId="15" fillId="0" borderId="6" xfId="0" applyFont="1" applyBorder="1" applyAlignment="1" applyProtection="1">
      <alignment horizontal="center"/>
    </xf>
    <xf numFmtId="0" fontId="15" fillId="0" borderId="7" xfId="0" applyFont="1" applyBorder="1" applyAlignment="1" applyProtection="1">
      <alignment horizontal="center"/>
    </xf>
    <xf numFmtId="0" fontId="15" fillId="0" borderId="5" xfId="0" applyFont="1" applyBorder="1" applyAlignment="1" applyProtection="1">
      <alignment horizontal="center"/>
    </xf>
    <xf numFmtId="0" fontId="15" fillId="0" borderId="4" xfId="0" applyFont="1" applyFill="1" applyBorder="1" applyAlignment="1" applyProtection="1">
      <alignment horizontal="center" vertical="center"/>
    </xf>
    <xf numFmtId="0" fontId="15" fillId="0" borderId="3" xfId="0" applyFont="1" applyFill="1" applyBorder="1" applyAlignment="1" applyProtection="1">
      <alignment horizontal="center" vertical="center"/>
    </xf>
    <xf numFmtId="0" fontId="15" fillId="0" borderId="4" xfId="0" applyFont="1" applyBorder="1" applyAlignment="1" applyProtection="1">
      <alignment horizontal="center" vertical="center"/>
    </xf>
    <xf numFmtId="0" fontId="15" fillId="0" borderId="3" xfId="0" applyFont="1" applyBorder="1" applyAlignment="1" applyProtection="1">
      <alignment horizontal="center" vertical="center"/>
    </xf>
    <xf numFmtId="4" fontId="20" fillId="0" borderId="6" xfId="0" applyNumberFormat="1" applyFont="1" applyFill="1" applyBorder="1" applyAlignment="1" applyProtection="1">
      <alignment horizontal="left" wrapText="1"/>
    </xf>
    <xf numFmtId="4" fontId="20" fillId="0" borderId="7" xfId="0" applyNumberFormat="1" applyFont="1" applyFill="1" applyBorder="1" applyAlignment="1" applyProtection="1">
      <alignment horizontal="left" wrapText="1"/>
    </xf>
    <xf numFmtId="4" fontId="20" fillId="0" borderId="5" xfId="0" applyNumberFormat="1" applyFont="1" applyFill="1" applyBorder="1" applyAlignment="1" applyProtection="1">
      <alignment horizontal="left" wrapText="1"/>
    </xf>
    <xf numFmtId="4" fontId="20" fillId="0" borderId="4" xfId="0" applyNumberFormat="1" applyFont="1" applyBorder="1" applyAlignment="1" applyProtection="1">
      <alignment horizontal="center" wrapText="1"/>
    </xf>
    <xf numFmtId="4" fontId="20" fillId="0" borderId="10" xfId="0" applyNumberFormat="1" applyFont="1" applyBorder="1" applyAlignment="1" applyProtection="1">
      <alignment horizontal="center" wrapText="1"/>
    </xf>
    <xf numFmtId="4" fontId="20" fillId="0" borderId="3" xfId="0" applyNumberFormat="1" applyFont="1" applyBorder="1" applyAlignment="1" applyProtection="1">
      <alignment horizontal="center" wrapText="1"/>
    </xf>
    <xf numFmtId="4" fontId="15" fillId="0" borderId="4" xfId="0" applyNumberFormat="1" applyFont="1" applyBorder="1" applyAlignment="1" applyProtection="1">
      <alignment horizontal="center" wrapText="1"/>
    </xf>
    <xf numFmtId="4" fontId="15" fillId="0" borderId="10" xfId="0" applyNumberFormat="1" applyFont="1" applyBorder="1" applyAlignment="1" applyProtection="1">
      <alignment horizontal="center" wrapText="1"/>
    </xf>
    <xf numFmtId="4" fontId="15" fillId="0" borderId="3" xfId="0" applyNumberFormat="1" applyFont="1" applyBorder="1" applyAlignment="1" applyProtection="1">
      <alignment horizont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left"/>
    </xf>
    <xf numFmtId="0" fontId="6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right" vertical="center"/>
    </xf>
    <xf numFmtId="175" fontId="27" fillId="0" borderId="0" xfId="1" applyNumberFormat="1" applyFont="1" applyAlignment="1" applyProtection="1">
      <alignment horizontal="right" vertical="center"/>
      <protection hidden="1"/>
    </xf>
    <xf numFmtId="0" fontId="3" fillId="0" borderId="0" xfId="0" applyFont="1" applyFill="1" applyAlignment="1" applyProtection="1">
      <alignment horizontal="center"/>
    </xf>
    <xf numFmtId="0" fontId="3" fillId="0" borderId="6" xfId="0" applyFont="1" applyBorder="1" applyAlignment="1" applyProtection="1">
      <alignment horizontal="left" vertical="center" wrapText="1"/>
      <protection hidden="1"/>
    </xf>
    <xf numFmtId="0" fontId="3" fillId="0" borderId="7" xfId="0" applyFont="1" applyBorder="1" applyAlignment="1" applyProtection="1">
      <alignment horizontal="left" vertical="center" wrapText="1"/>
      <protection hidden="1"/>
    </xf>
    <xf numFmtId="0" fontId="3" fillId="0" borderId="5" xfId="0" applyFont="1" applyBorder="1" applyAlignment="1" applyProtection="1">
      <alignment horizontal="left" vertical="center" wrapText="1"/>
      <protection hidden="1"/>
    </xf>
    <xf numFmtId="0" fontId="3" fillId="0" borderId="34" xfId="0" applyFont="1" applyBorder="1" applyAlignment="1" applyProtection="1">
      <alignment horizontal="left" vertical="center" wrapText="1"/>
      <protection hidden="1"/>
    </xf>
    <xf numFmtId="0" fontId="3" fillId="0" borderId="35" xfId="0" applyFont="1" applyBorder="1" applyAlignment="1" applyProtection="1">
      <alignment horizontal="left" vertical="center" wrapText="1"/>
      <protection hidden="1"/>
    </xf>
    <xf numFmtId="0" fontId="3" fillId="0" borderId="36" xfId="0" applyFont="1" applyBorder="1" applyAlignment="1" applyProtection="1">
      <alignment horizontal="left" vertical="center" wrapText="1"/>
      <protection hidden="1"/>
    </xf>
    <xf numFmtId="177" fontId="26" fillId="0" borderId="0" xfId="0" applyNumberFormat="1" applyFont="1" applyBorder="1" applyAlignment="1" applyProtection="1">
      <alignment horizontal="right" vertical="center"/>
      <protection locked="0" hidden="1"/>
    </xf>
    <xf numFmtId="0" fontId="0" fillId="0" borderId="0" xfId="0" applyAlignment="1" applyProtection="1">
      <alignment horizontal="center" vertical="center" wrapText="1"/>
      <protection locked="0" hidden="1"/>
    </xf>
    <xf numFmtId="0" fontId="0" fillId="0" borderId="0" xfId="0" applyAlignment="1" applyProtection="1">
      <alignment horizontal="center"/>
      <protection locked="0" hidden="1"/>
    </xf>
    <xf numFmtId="0" fontId="10" fillId="0" borderId="17" xfId="0" applyFont="1" applyBorder="1" applyAlignment="1" applyProtection="1">
      <alignment horizontal="center" vertical="center" wrapText="1"/>
      <protection hidden="1"/>
    </xf>
    <xf numFmtId="0" fontId="10" fillId="0" borderId="23" xfId="0" applyFont="1" applyBorder="1" applyAlignment="1" applyProtection="1">
      <alignment horizontal="center" vertical="center" wrapText="1"/>
      <protection hidden="1"/>
    </xf>
    <xf numFmtId="0" fontId="10" fillId="0" borderId="26" xfId="0" applyFont="1" applyBorder="1" applyAlignment="1" applyProtection="1">
      <alignment horizontal="center" vertical="center" wrapText="1"/>
      <protection hidden="1"/>
    </xf>
    <xf numFmtId="49" fontId="10" fillId="0" borderId="18" xfId="0" applyNumberFormat="1" applyFont="1" applyBorder="1" applyAlignment="1" applyProtection="1">
      <alignment horizontal="center" vertical="center" wrapText="1"/>
      <protection hidden="1"/>
    </xf>
    <xf numFmtId="49" fontId="10" fillId="0" borderId="19" xfId="0" applyNumberFormat="1" applyFont="1" applyBorder="1" applyAlignment="1" applyProtection="1">
      <alignment horizontal="center" vertical="center" wrapText="1"/>
      <protection hidden="1"/>
    </xf>
    <xf numFmtId="49" fontId="10" fillId="0" borderId="20" xfId="0" applyNumberFormat="1" applyFont="1" applyBorder="1" applyAlignment="1" applyProtection="1">
      <alignment horizontal="center" vertical="center" wrapText="1"/>
      <protection hidden="1"/>
    </xf>
    <xf numFmtId="49" fontId="10" fillId="0" borderId="16" xfId="0" applyNumberFormat="1" applyFont="1" applyBorder="1" applyAlignment="1" applyProtection="1">
      <alignment horizontal="center" vertical="center" wrapText="1"/>
      <protection hidden="1"/>
    </xf>
    <xf numFmtId="49" fontId="10" fillId="0" borderId="0" xfId="0" applyNumberFormat="1" applyFont="1" applyBorder="1" applyAlignment="1" applyProtection="1">
      <alignment horizontal="center" vertical="center" wrapText="1"/>
      <protection hidden="1"/>
    </xf>
    <xf numFmtId="49" fontId="10" fillId="0" borderId="24" xfId="0" applyNumberFormat="1" applyFont="1" applyBorder="1" applyAlignment="1" applyProtection="1">
      <alignment horizontal="center" vertical="center" wrapText="1"/>
      <protection hidden="1"/>
    </xf>
    <xf numFmtId="49" fontId="10" fillId="0" borderId="27" xfId="0" applyNumberFormat="1" applyFont="1" applyBorder="1" applyAlignment="1" applyProtection="1">
      <alignment horizontal="center" vertical="center" wrapText="1"/>
      <protection hidden="1"/>
    </xf>
    <xf numFmtId="49" fontId="10" fillId="0" borderId="28" xfId="0" applyNumberFormat="1" applyFont="1" applyBorder="1" applyAlignment="1" applyProtection="1">
      <alignment horizontal="center" vertical="center" wrapText="1"/>
      <protection hidden="1"/>
    </xf>
    <xf numFmtId="49" fontId="10" fillId="0" borderId="29" xfId="0" applyNumberFormat="1" applyFont="1" applyBorder="1" applyAlignment="1" applyProtection="1">
      <alignment horizontal="center" vertical="center" wrapText="1"/>
      <protection hidden="1"/>
    </xf>
    <xf numFmtId="0" fontId="3" fillId="0" borderId="21" xfId="0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3" fillId="0" borderId="30" xfId="0" applyFont="1" applyBorder="1" applyAlignment="1" applyProtection="1">
      <alignment horizontal="center" vertical="center" wrapText="1"/>
      <protection hidden="1"/>
    </xf>
    <xf numFmtId="0" fontId="3" fillId="0" borderId="22" xfId="0" applyFont="1" applyBorder="1" applyAlignment="1" applyProtection="1">
      <alignment horizontal="center" vertical="center" wrapText="1"/>
      <protection hidden="1"/>
    </xf>
    <xf numFmtId="0" fontId="3" fillId="0" borderId="25" xfId="0" applyFont="1" applyBorder="1" applyAlignment="1" applyProtection="1">
      <alignment horizontal="center" vertical="center" wrapText="1"/>
      <protection hidden="1"/>
    </xf>
    <xf numFmtId="0" fontId="3" fillId="0" borderId="31" xfId="0" applyFont="1" applyBorder="1" applyAlignment="1" applyProtection="1">
      <alignment horizontal="center" vertical="center" wrapText="1"/>
      <protection hidden="1"/>
    </xf>
    <xf numFmtId="0" fontId="3" fillId="0" borderId="21" xfId="0" applyFont="1" applyBorder="1" applyAlignment="1" applyProtection="1">
      <alignment horizontal="left" vertical="center" wrapText="1"/>
      <protection hidden="1"/>
    </xf>
    <xf numFmtId="179" fontId="15" fillId="0" borderId="4" xfId="0" applyNumberFormat="1" applyFont="1" applyBorder="1" applyAlignment="1" applyProtection="1">
      <alignment horizontal="center" vertical="center" wrapText="1"/>
    </xf>
    <xf numFmtId="179" fontId="15" fillId="0" borderId="10" xfId="0" applyNumberFormat="1" applyFont="1" applyBorder="1" applyAlignment="1" applyProtection="1">
      <alignment horizontal="center" vertical="center" wrapText="1"/>
    </xf>
    <xf numFmtId="179" fontId="15" fillId="0" borderId="3" xfId="0" applyNumberFormat="1" applyFont="1" applyBorder="1" applyAlignment="1" applyProtection="1">
      <alignment horizontal="center" vertical="center" wrapText="1"/>
    </xf>
    <xf numFmtId="173" fontId="20" fillId="0" borderId="33" xfId="0" applyNumberFormat="1" applyFont="1" applyBorder="1" applyAlignment="1" applyProtection="1">
      <alignment horizontal="center" vertical="center" wrapText="1"/>
    </xf>
    <xf numFmtId="173" fontId="20" fillId="0" borderId="39" xfId="0" applyNumberFormat="1" applyFont="1" applyBorder="1" applyAlignment="1" applyProtection="1">
      <alignment horizontal="center" vertical="center" wrapText="1"/>
    </xf>
    <xf numFmtId="173" fontId="20" fillId="0" borderId="40" xfId="0" applyNumberFormat="1" applyFont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right" vertical="center"/>
    </xf>
    <xf numFmtId="0" fontId="3" fillId="0" borderId="8" xfId="0" applyFont="1" applyBorder="1" applyAlignment="1" applyProtection="1">
      <alignment horizontal="left" vertical="center" wrapText="1"/>
      <protection hidden="1"/>
    </xf>
    <xf numFmtId="0" fontId="3" fillId="0" borderId="11" xfId="0" applyFont="1" applyBorder="1" applyAlignment="1" applyProtection="1">
      <alignment horizontal="left" vertical="center" wrapText="1"/>
      <protection hidden="1"/>
    </xf>
    <xf numFmtId="0" fontId="3" fillId="0" borderId="14" xfId="0" applyFont="1" applyBorder="1" applyAlignment="1" applyProtection="1">
      <alignment horizontal="left" vertical="center" wrapText="1"/>
      <protection hidden="1"/>
    </xf>
    <xf numFmtId="0" fontId="3" fillId="0" borderId="6" xfId="0" applyFont="1" applyFill="1" applyBorder="1" applyAlignment="1" applyProtection="1">
      <alignment horizontal="left" vertical="center" wrapText="1"/>
      <protection hidden="1"/>
    </xf>
    <xf numFmtId="0" fontId="3" fillId="0" borderId="7" xfId="0" applyFont="1" applyFill="1" applyBorder="1" applyAlignment="1" applyProtection="1">
      <alignment horizontal="left" vertical="center" wrapText="1"/>
      <protection hidden="1"/>
    </xf>
    <xf numFmtId="0" fontId="3" fillId="0" borderId="5" xfId="0" applyFont="1" applyFill="1" applyBorder="1" applyAlignment="1" applyProtection="1">
      <alignment horizontal="left" vertical="center" wrapText="1"/>
      <protection hidden="1"/>
    </xf>
    <xf numFmtId="0" fontId="31" fillId="0" borderId="21" xfId="0" applyFont="1" applyBorder="1" applyAlignment="1" applyProtection="1">
      <alignment horizontal="center" vertical="center" wrapText="1"/>
      <protection locked="0" hidden="1"/>
    </xf>
    <xf numFmtId="0" fontId="31" fillId="0" borderId="1" xfId="0" applyFont="1" applyBorder="1" applyAlignment="1" applyProtection="1">
      <alignment horizontal="center" vertical="center" wrapText="1"/>
      <protection locked="0" hidden="1"/>
    </xf>
    <xf numFmtId="0" fontId="31" fillId="0" borderId="30" xfId="0" applyFont="1" applyBorder="1" applyAlignment="1" applyProtection="1">
      <alignment horizontal="center" vertical="center" wrapText="1"/>
      <protection locked="0" hidden="1"/>
    </xf>
    <xf numFmtId="0" fontId="31" fillId="0" borderId="22" xfId="0" applyFont="1" applyBorder="1" applyAlignment="1" applyProtection="1">
      <alignment horizontal="center" vertical="center" wrapText="1"/>
      <protection locked="0" hidden="1"/>
    </xf>
    <xf numFmtId="0" fontId="31" fillId="0" borderId="25" xfId="0" applyFont="1" applyBorder="1" applyAlignment="1" applyProtection="1">
      <alignment horizontal="center" vertical="center" wrapText="1"/>
      <protection locked="0" hidden="1"/>
    </xf>
    <xf numFmtId="0" fontId="31" fillId="0" borderId="31" xfId="0" applyFont="1" applyBorder="1" applyAlignment="1" applyProtection="1">
      <alignment horizontal="center" vertical="center" wrapText="1"/>
      <protection locked="0" hidden="1"/>
    </xf>
    <xf numFmtId="179" fontId="15" fillId="0" borderId="37" xfId="0" applyNumberFormat="1" applyFont="1" applyBorder="1" applyAlignment="1" applyProtection="1">
      <alignment horizontal="center" vertical="center" wrapText="1"/>
    </xf>
    <xf numFmtId="173" fontId="15" fillId="0" borderId="38" xfId="0" applyNumberFormat="1" applyFont="1" applyBorder="1" applyAlignment="1" applyProtection="1">
      <alignment horizontal="center" vertical="center" wrapText="1"/>
    </xf>
    <xf numFmtId="173" fontId="15" fillId="0" borderId="39" xfId="0" applyNumberFormat="1" applyFont="1" applyBorder="1" applyAlignment="1" applyProtection="1">
      <alignment horizontal="center" vertical="center" wrapText="1"/>
    </xf>
    <xf numFmtId="173" fontId="15" fillId="0" borderId="40" xfId="0" applyNumberFormat="1" applyFont="1" applyBorder="1" applyAlignment="1" applyProtection="1">
      <alignment horizontal="center" vertical="center" wrapText="1"/>
    </xf>
    <xf numFmtId="0" fontId="20" fillId="0" borderId="0" xfId="0" applyFont="1" applyBorder="1" applyAlignment="1" applyProtection="1">
      <alignment horizontal="center" vertical="top"/>
      <protection locked="0"/>
    </xf>
    <xf numFmtId="0" fontId="3" fillId="0" borderId="23" xfId="0" applyFont="1" applyBorder="1" applyAlignment="1" applyProtection="1">
      <alignment horizontal="center" vertical="center" wrapText="1"/>
      <protection hidden="1"/>
    </xf>
    <xf numFmtId="0" fontId="3" fillId="0" borderId="26" xfId="0" applyFont="1" applyBorder="1" applyAlignment="1" applyProtection="1">
      <alignment horizontal="center" vertical="center" wrapText="1"/>
      <protection hidden="1"/>
    </xf>
    <xf numFmtId="0" fontId="9" fillId="0" borderId="34" xfId="0" applyFont="1" applyBorder="1" applyAlignment="1" applyProtection="1">
      <alignment horizontal="left" vertical="center" wrapText="1"/>
      <protection hidden="1"/>
    </xf>
    <xf numFmtId="0" fontId="9" fillId="0" borderId="35" xfId="0" applyFont="1" applyBorder="1" applyAlignment="1" applyProtection="1">
      <alignment horizontal="left" vertical="center" wrapText="1"/>
      <protection hidden="1"/>
    </xf>
    <xf numFmtId="0" fontId="9" fillId="0" borderId="36" xfId="0" applyFont="1" applyBorder="1" applyAlignment="1" applyProtection="1">
      <alignment horizontal="left" vertical="center" wrapText="1"/>
      <protection hidden="1"/>
    </xf>
    <xf numFmtId="0" fontId="3" fillId="0" borderId="8" xfId="0" applyFont="1" applyBorder="1" applyAlignment="1" applyProtection="1">
      <alignment horizontal="center" vertical="center" wrapText="1"/>
      <protection hidden="1"/>
    </xf>
    <xf numFmtId="0" fontId="3" fillId="0" borderId="11" xfId="0" applyFont="1" applyBorder="1" applyAlignment="1" applyProtection="1">
      <alignment horizontal="center" vertical="center" wrapText="1"/>
      <protection hidden="1"/>
    </xf>
    <xf numFmtId="0" fontId="3" fillId="0" borderId="16" xfId="0" applyFont="1" applyBorder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 wrapText="1"/>
      <protection hidden="1"/>
    </xf>
    <xf numFmtId="0" fontId="3" fillId="0" borderId="9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3" fillId="0" borderId="32" xfId="0" applyFont="1" applyBorder="1" applyAlignment="1" applyProtection="1">
      <alignment horizontal="center" vertical="center"/>
      <protection hidden="1"/>
    </xf>
    <xf numFmtId="0" fontId="3" fillId="0" borderId="41" xfId="0" applyFont="1" applyBorder="1" applyAlignment="1" applyProtection="1">
      <alignment horizontal="center" vertical="center"/>
      <protection hidden="1"/>
    </xf>
    <xf numFmtId="0" fontId="3" fillId="0" borderId="42" xfId="0" applyFont="1" applyBorder="1" applyAlignment="1" applyProtection="1">
      <alignment horizontal="center" vertical="center"/>
      <protection hidden="1"/>
    </xf>
    <xf numFmtId="0" fontId="3" fillId="0" borderId="17" xfId="0" applyFont="1" applyBorder="1" applyAlignment="1" applyProtection="1">
      <alignment horizontal="center" vertical="center" wrapText="1"/>
      <protection hidden="1"/>
    </xf>
    <xf numFmtId="0" fontId="3" fillId="0" borderId="18" xfId="0" applyFont="1" applyBorder="1" applyAlignment="1" applyProtection="1">
      <alignment horizontal="left" vertical="center" wrapText="1"/>
      <protection hidden="1"/>
    </xf>
    <xf numFmtId="0" fontId="3" fillId="0" borderId="20" xfId="0" applyFont="1" applyBorder="1" applyAlignment="1" applyProtection="1">
      <alignment horizontal="left" vertical="center" wrapText="1"/>
      <protection hidden="1"/>
    </xf>
    <xf numFmtId="0" fontId="3" fillId="0" borderId="16" xfId="0" applyFont="1" applyBorder="1" applyAlignment="1" applyProtection="1">
      <alignment horizontal="left" vertical="center" wrapText="1"/>
      <protection hidden="1"/>
    </xf>
    <xf numFmtId="0" fontId="3" fillId="0" borderId="24" xfId="0" applyFont="1" applyBorder="1" applyAlignment="1" applyProtection="1">
      <alignment horizontal="left" vertical="center" wrapText="1"/>
      <protection hidden="1"/>
    </xf>
    <xf numFmtId="0" fontId="3" fillId="0" borderId="9" xfId="0" applyFont="1" applyBorder="1" applyAlignment="1" applyProtection="1">
      <alignment horizontal="left" vertical="center" wrapText="1"/>
      <protection hidden="1"/>
    </xf>
    <xf numFmtId="0" fontId="3" fillId="0" borderId="15" xfId="0" applyFont="1" applyBorder="1" applyAlignment="1" applyProtection="1">
      <alignment horizontal="left" vertical="center" wrapText="1"/>
      <protection hidden="1"/>
    </xf>
    <xf numFmtId="0" fontId="15" fillId="0" borderId="0" xfId="0" applyFont="1" applyBorder="1" applyAlignment="1" applyProtection="1">
      <alignment horizontal="right" vertical="center" wrapText="1"/>
      <protection locked="0"/>
    </xf>
    <xf numFmtId="177" fontId="29" fillId="0" borderId="0" xfId="0" applyNumberFormat="1" applyFont="1" applyBorder="1" applyAlignment="1" applyProtection="1">
      <alignment horizontal="right" vertical="center"/>
      <protection locked="0" hidden="1"/>
    </xf>
    <xf numFmtId="0" fontId="15" fillId="0" borderId="0" xfId="0" applyNumberFormat="1" applyFont="1" applyAlignment="1" applyProtection="1">
      <alignment horizontal="center" vertical="center" wrapText="1"/>
      <protection locked="0" hidden="1"/>
    </xf>
    <xf numFmtId="0" fontId="30" fillId="0" borderId="17" xfId="0" applyFont="1" applyBorder="1" applyAlignment="1" applyProtection="1">
      <alignment horizontal="center" vertical="center" wrapText="1"/>
      <protection hidden="1"/>
    </xf>
    <xf numFmtId="0" fontId="30" fillId="0" borderId="23" xfId="0" applyFont="1" applyBorder="1" applyAlignment="1" applyProtection="1">
      <alignment horizontal="center" vertical="center" wrapText="1"/>
      <protection hidden="1"/>
    </xf>
    <xf numFmtId="0" fontId="30" fillId="0" borderId="26" xfId="0" applyFont="1" applyBorder="1" applyAlignment="1" applyProtection="1">
      <alignment horizontal="center" vertical="center" wrapText="1"/>
      <protection hidden="1"/>
    </xf>
    <xf numFmtId="49" fontId="30" fillId="0" borderId="18" xfId="0" applyNumberFormat="1" applyFont="1" applyBorder="1" applyAlignment="1" applyProtection="1">
      <alignment horizontal="center" vertical="center" wrapText="1"/>
      <protection hidden="1"/>
    </xf>
    <xf numFmtId="49" fontId="30" fillId="0" borderId="19" xfId="0" applyNumberFormat="1" applyFont="1" applyBorder="1" applyAlignment="1" applyProtection="1">
      <alignment horizontal="center" vertical="center" wrapText="1"/>
      <protection hidden="1"/>
    </xf>
    <xf numFmtId="49" fontId="30" fillId="0" borderId="20" xfId="0" applyNumberFormat="1" applyFont="1" applyBorder="1" applyAlignment="1" applyProtection="1">
      <alignment horizontal="center" vertical="center" wrapText="1"/>
      <protection hidden="1"/>
    </xf>
    <xf numFmtId="49" fontId="30" fillId="0" borderId="16" xfId="0" applyNumberFormat="1" applyFont="1" applyBorder="1" applyAlignment="1" applyProtection="1">
      <alignment horizontal="center" vertical="center" wrapText="1"/>
      <protection hidden="1"/>
    </xf>
    <xf numFmtId="49" fontId="30" fillId="0" borderId="0" xfId="0" applyNumberFormat="1" applyFont="1" applyBorder="1" applyAlignment="1" applyProtection="1">
      <alignment horizontal="center" vertical="center" wrapText="1"/>
      <protection hidden="1"/>
    </xf>
    <xf numFmtId="49" fontId="30" fillId="0" borderId="24" xfId="0" applyNumberFormat="1" applyFont="1" applyBorder="1" applyAlignment="1" applyProtection="1">
      <alignment horizontal="center" vertical="center" wrapText="1"/>
      <protection hidden="1"/>
    </xf>
    <xf numFmtId="49" fontId="30" fillId="0" borderId="27" xfId="0" applyNumberFormat="1" applyFont="1" applyBorder="1" applyAlignment="1" applyProtection="1">
      <alignment horizontal="center" vertical="center" wrapText="1"/>
      <protection hidden="1"/>
    </xf>
    <xf numFmtId="49" fontId="30" fillId="0" borderId="28" xfId="0" applyNumberFormat="1" applyFont="1" applyBorder="1" applyAlignment="1" applyProtection="1">
      <alignment horizontal="center" vertical="center" wrapText="1"/>
      <protection hidden="1"/>
    </xf>
    <xf numFmtId="49" fontId="30" fillId="0" borderId="29" xfId="0" applyNumberFormat="1" applyFont="1" applyBorder="1" applyAlignment="1" applyProtection="1">
      <alignment horizontal="center" vertical="center" wrapText="1"/>
      <protection hidden="1"/>
    </xf>
    <xf numFmtId="0" fontId="15" fillId="0" borderId="2" xfId="0" applyFont="1" applyBorder="1" applyAlignment="1" applyProtection="1">
      <alignment horizontal="center" vertical="center" wrapText="1"/>
      <protection hidden="1"/>
    </xf>
    <xf numFmtId="0" fontId="15" fillId="0" borderId="0" xfId="2" applyFont="1" applyAlignment="1">
      <alignment horizontal="left" wrapText="1"/>
    </xf>
    <xf numFmtId="0" fontId="0" fillId="0" borderId="0" xfId="0" applyAlignment="1">
      <alignment horizontal="center" wrapText="1"/>
    </xf>
    <xf numFmtId="0" fontId="34" fillId="4" borderId="4" xfId="3" applyFont="1" applyFill="1" applyBorder="1" applyAlignment="1" applyProtection="1">
      <alignment horizontal="center" vertical="center" wrapText="1"/>
    </xf>
    <xf numFmtId="0" fontId="34" fillId="4" borderId="3" xfId="3" applyFont="1" applyFill="1" applyBorder="1" applyAlignment="1" applyProtection="1">
      <alignment horizontal="center" vertical="center" wrapText="1"/>
    </xf>
    <xf numFmtId="0" fontId="34" fillId="17" borderId="6" xfId="3" applyFont="1" applyFill="1" applyBorder="1" applyAlignment="1">
      <alignment horizontal="center" vertical="center" wrapText="1"/>
    </xf>
    <xf numFmtId="0" fontId="34" fillId="17" borderId="7" xfId="3" applyFont="1" applyFill="1" applyBorder="1" applyAlignment="1">
      <alignment horizontal="center" vertical="center" wrapText="1"/>
    </xf>
    <xf numFmtId="0" fontId="34" fillId="17" borderId="5" xfId="3" applyFont="1" applyFill="1" applyBorder="1" applyAlignment="1">
      <alignment horizontal="center" vertical="center" wrapText="1"/>
    </xf>
    <xf numFmtId="0" fontId="35" fillId="17" borderId="4" xfId="3" applyFont="1" applyFill="1" applyBorder="1" applyAlignment="1">
      <alignment horizontal="center" vertical="center" wrapText="1"/>
    </xf>
    <xf numFmtId="0" fontId="35" fillId="17" borderId="3" xfId="3" applyFont="1" applyFill="1" applyBorder="1" applyAlignment="1">
      <alignment horizontal="center" vertical="center" wrapText="1"/>
    </xf>
    <xf numFmtId="0" fontId="35" fillId="17" borderId="6" xfId="3" applyFont="1" applyFill="1" applyBorder="1" applyAlignment="1">
      <alignment horizontal="center" vertical="center" wrapText="1"/>
    </xf>
    <xf numFmtId="0" fontId="35" fillId="17" borderId="7" xfId="3" applyFont="1" applyFill="1" applyBorder="1" applyAlignment="1">
      <alignment horizontal="center" vertical="center" wrapText="1"/>
    </xf>
    <xf numFmtId="0" fontId="35" fillId="17" borderId="5" xfId="3" applyFont="1" applyFill="1" applyBorder="1" applyAlignment="1">
      <alignment horizontal="center" vertical="center" wrapText="1"/>
    </xf>
    <xf numFmtId="0" fontId="49" fillId="0" borderId="6" xfId="0" applyFont="1" applyBorder="1" applyAlignment="1" applyProtection="1">
      <alignment horizontal="center" vertical="center" wrapText="1"/>
      <protection locked="0"/>
    </xf>
    <xf numFmtId="0" fontId="49" fillId="0" borderId="7" xfId="0" applyFont="1" applyBorder="1" applyAlignment="1" applyProtection="1">
      <alignment horizontal="center" vertical="center" wrapText="1"/>
      <protection locked="0"/>
    </xf>
    <xf numFmtId="0" fontId="49" fillId="0" borderId="49" xfId="0" applyFont="1" applyBorder="1" applyAlignment="1" applyProtection="1">
      <alignment horizontal="center" vertical="center" wrapText="1"/>
      <protection locked="0"/>
    </xf>
    <xf numFmtId="0" fontId="43" fillId="0" borderId="0" xfId="0" applyFont="1" applyAlignment="1" applyProtection="1">
      <alignment horizontal="center" vertical="center" wrapText="1"/>
      <protection locked="0"/>
    </xf>
    <xf numFmtId="0" fontId="43" fillId="0" borderId="0" xfId="0" applyFont="1" applyAlignment="1" applyProtection="1">
      <alignment wrapText="1"/>
      <protection locked="0"/>
    </xf>
    <xf numFmtId="0" fontId="46" fillId="0" borderId="43" xfId="0" applyFont="1" applyBorder="1" applyAlignment="1" applyProtection="1">
      <alignment horizontal="center" vertical="center" wrapText="1"/>
      <protection locked="0"/>
    </xf>
    <xf numFmtId="0" fontId="46" fillId="0" borderId="41" xfId="0" applyFont="1" applyBorder="1" applyAlignment="1" applyProtection="1">
      <alignment horizontal="center" vertical="center" wrapText="1"/>
      <protection locked="0"/>
    </xf>
    <xf numFmtId="0" fontId="46" fillId="0" borderId="51" xfId="0" applyFont="1" applyBorder="1" applyAlignment="1" applyProtection="1">
      <alignment horizontal="center" vertical="center" wrapText="1"/>
      <protection locked="0"/>
    </xf>
    <xf numFmtId="0" fontId="46" fillId="0" borderId="37" xfId="0" applyFont="1" applyBorder="1" applyAlignment="1" applyProtection="1">
      <alignment horizontal="center" vertical="center" wrapText="1"/>
      <protection locked="0"/>
    </xf>
    <xf numFmtId="0" fontId="46" fillId="0" borderId="10" xfId="0" applyFont="1" applyBorder="1" applyAlignment="1" applyProtection="1">
      <alignment horizontal="center" vertical="center" wrapText="1"/>
      <protection locked="0"/>
    </xf>
    <xf numFmtId="0" fontId="46" fillId="0" borderId="52" xfId="0" applyFont="1" applyBorder="1" applyAlignment="1" applyProtection="1">
      <alignment horizontal="center" vertical="center" wrapText="1"/>
      <protection locked="0"/>
    </xf>
    <xf numFmtId="0" fontId="46" fillId="0" borderId="38" xfId="0" applyFont="1" applyBorder="1" applyAlignment="1" applyProtection="1">
      <alignment horizontal="center" vertical="center" wrapText="1"/>
      <protection locked="0"/>
    </xf>
    <xf numFmtId="0" fontId="46" fillId="0" borderId="39" xfId="0" applyFont="1" applyBorder="1" applyAlignment="1" applyProtection="1">
      <alignment horizontal="center" vertical="center" wrapText="1"/>
      <protection locked="0"/>
    </xf>
    <xf numFmtId="0" fontId="46" fillId="0" borderId="53" xfId="0" applyFont="1" applyBorder="1" applyAlignment="1" applyProtection="1">
      <alignment horizontal="center" vertical="center" wrapText="1"/>
      <protection locked="0"/>
    </xf>
    <xf numFmtId="0" fontId="48" fillId="0" borderId="17" xfId="0" applyFont="1" applyBorder="1" applyAlignment="1" applyProtection="1">
      <alignment horizontal="center" vertical="center" wrapText="1"/>
      <protection locked="0"/>
    </xf>
    <xf numFmtId="0" fontId="48" fillId="0" borderId="21" xfId="0" applyFont="1" applyBorder="1" applyAlignment="1" applyProtection="1">
      <alignment horizontal="center" vertical="center" wrapText="1"/>
      <protection locked="0"/>
    </xf>
    <xf numFmtId="0" fontId="48" fillId="0" borderId="22" xfId="0" applyFont="1" applyBorder="1" applyAlignment="1" applyProtection="1">
      <alignment horizontal="center" vertical="center" wrapText="1"/>
      <protection locked="0"/>
    </xf>
    <xf numFmtId="0" fontId="49" fillId="0" borderId="44" xfId="0" applyFont="1" applyBorder="1" applyAlignment="1" applyProtection="1">
      <alignment horizontal="center" vertical="center" wrapText="1"/>
      <protection locked="0"/>
    </xf>
    <xf numFmtId="0" fontId="49" fillId="0" borderId="45" xfId="0" applyFont="1" applyBorder="1" applyAlignment="1" applyProtection="1">
      <alignment horizontal="center" vertical="center" wrapText="1"/>
      <protection locked="0"/>
    </xf>
    <xf numFmtId="0" fontId="49" fillId="0" borderId="46" xfId="0" applyFont="1" applyBorder="1" applyAlignment="1" applyProtection="1">
      <alignment horizontal="center" vertical="center" wrapText="1"/>
      <protection locked="0"/>
    </xf>
    <xf numFmtId="0" fontId="46" fillId="0" borderId="47" xfId="0" applyFont="1" applyBorder="1" applyAlignment="1" applyProtection="1">
      <alignment horizontal="center" vertical="center" wrapText="1"/>
      <protection locked="0"/>
    </xf>
    <xf numFmtId="0" fontId="46" fillId="0" borderId="50" xfId="0" applyFont="1" applyBorder="1" applyAlignment="1" applyProtection="1">
      <alignment horizontal="center" vertical="center" wrapText="1"/>
      <protection locked="0"/>
    </xf>
    <xf numFmtId="0" fontId="46" fillId="0" borderId="54" xfId="0" applyFont="1" applyBorder="1" applyAlignment="1" applyProtection="1">
      <alignment horizontal="center" vertical="center" wrapText="1"/>
      <protection locked="0"/>
    </xf>
    <xf numFmtId="49" fontId="48" fillId="0" borderId="43" xfId="0" applyNumberFormat="1" applyFont="1" applyBorder="1" applyAlignment="1" applyProtection="1">
      <alignment horizontal="center" vertical="center" wrapText="1"/>
      <protection locked="0"/>
    </xf>
    <xf numFmtId="49" fontId="48" fillId="0" borderId="41" xfId="0" applyNumberFormat="1" applyFont="1" applyBorder="1" applyAlignment="1" applyProtection="1">
      <alignment horizontal="center" vertical="center" wrapText="1"/>
      <protection locked="0"/>
    </xf>
    <xf numFmtId="49" fontId="48" fillId="0" borderId="51" xfId="0" applyNumberFormat="1" applyFont="1" applyBorder="1" applyAlignment="1" applyProtection="1">
      <alignment horizontal="center" vertical="center" wrapText="1"/>
      <protection locked="0"/>
    </xf>
    <xf numFmtId="49" fontId="48" fillId="0" borderId="37" xfId="0" applyNumberFormat="1" applyFont="1" applyBorder="1" applyAlignment="1" applyProtection="1">
      <alignment horizontal="center" vertical="center" wrapText="1"/>
      <protection locked="0"/>
    </xf>
    <xf numFmtId="49" fontId="48" fillId="0" borderId="10" xfId="0" applyNumberFormat="1" applyFont="1" applyBorder="1" applyAlignment="1" applyProtection="1">
      <alignment horizontal="center" vertical="center" wrapText="1"/>
      <protection locked="0"/>
    </xf>
    <xf numFmtId="49" fontId="48" fillId="0" borderId="52" xfId="0" applyNumberFormat="1" applyFont="1" applyBorder="1" applyAlignment="1" applyProtection="1">
      <alignment horizontal="center" vertical="center" wrapText="1"/>
      <protection locked="0"/>
    </xf>
    <xf numFmtId="49" fontId="48" fillId="0" borderId="21" xfId="0" applyNumberFormat="1" applyFont="1" applyBorder="1" applyAlignment="1" applyProtection="1">
      <alignment horizontal="center" vertical="center" wrapText="1"/>
      <protection locked="0"/>
    </xf>
    <xf numFmtId="49" fontId="48" fillId="0" borderId="1" xfId="0" applyNumberFormat="1" applyFont="1" applyBorder="1" applyAlignment="1" applyProtection="1">
      <alignment horizontal="center" vertical="center" wrapText="1"/>
      <protection locked="0"/>
    </xf>
    <xf numFmtId="49" fontId="48" fillId="0" borderId="30" xfId="0" applyNumberFormat="1" applyFont="1" applyBorder="1" applyAlignment="1" applyProtection="1">
      <alignment horizontal="center" vertical="center" wrapText="1"/>
      <protection locked="0"/>
    </xf>
    <xf numFmtId="49" fontId="46" fillId="0" borderId="22" xfId="0" applyNumberFormat="1" applyFont="1" applyBorder="1" applyAlignment="1" applyProtection="1">
      <alignment horizontal="center" vertical="center" wrapText="1"/>
      <protection locked="0"/>
    </xf>
    <xf numFmtId="49" fontId="46" fillId="0" borderId="25" xfId="0" applyNumberFormat="1" applyFont="1" applyBorder="1" applyAlignment="1" applyProtection="1">
      <alignment horizontal="center" vertical="center" wrapText="1"/>
      <protection locked="0"/>
    </xf>
    <xf numFmtId="49" fontId="46" fillId="0" borderId="31" xfId="0" applyNumberFormat="1" applyFont="1" applyBorder="1" applyAlignment="1" applyProtection="1">
      <alignment horizontal="center" vertical="center" wrapText="1"/>
      <protection locked="0"/>
    </xf>
    <xf numFmtId="0" fontId="48" fillId="0" borderId="32" xfId="0" applyFont="1" applyBorder="1" applyAlignment="1" applyProtection="1">
      <alignment horizontal="center" vertical="center" wrapText="1"/>
      <protection locked="0"/>
    </xf>
    <xf numFmtId="0" fontId="48" fillId="0" borderId="51" xfId="0" applyFont="1" applyBorder="1" applyAlignment="1" applyProtection="1">
      <alignment horizontal="center" vertical="center" wrapText="1"/>
      <protection locked="0"/>
    </xf>
    <xf numFmtId="0" fontId="48" fillId="0" borderId="4" xfId="0" applyFont="1" applyBorder="1" applyAlignment="1" applyProtection="1">
      <alignment horizontal="center" vertical="center" wrapText="1"/>
      <protection locked="0"/>
    </xf>
    <xf numFmtId="0" fontId="48" fillId="0" borderId="52" xfId="0" applyFont="1" applyBorder="1" applyAlignment="1" applyProtection="1">
      <alignment horizontal="center" vertical="center" wrapText="1"/>
      <protection locked="0"/>
    </xf>
    <xf numFmtId="0" fontId="48" fillId="0" borderId="33" xfId="0" applyFont="1" applyBorder="1" applyAlignment="1" applyProtection="1">
      <alignment horizontal="center" vertical="center" wrapText="1"/>
      <protection locked="0"/>
    </xf>
    <xf numFmtId="0" fontId="48" fillId="0" borderId="53" xfId="0" applyFont="1" applyBorder="1" applyAlignment="1" applyProtection="1">
      <alignment horizontal="center" vertical="center" wrapText="1"/>
      <protection locked="0"/>
    </xf>
    <xf numFmtId="0" fontId="49" fillId="0" borderId="48" xfId="0" applyFont="1" applyBorder="1" applyAlignment="1" applyProtection="1">
      <alignment horizontal="center" vertical="center" wrapText="1"/>
      <protection locked="0"/>
    </xf>
    <xf numFmtId="0" fontId="49" fillId="0" borderId="5" xfId="0" applyFont="1" applyBorder="1" applyAlignment="1" applyProtection="1">
      <alignment horizontal="center" vertical="center" wrapText="1"/>
      <protection locked="0"/>
    </xf>
    <xf numFmtId="0" fontId="0" fillId="12" borderId="2" xfId="0" applyFill="1" applyBorder="1" applyAlignment="1" applyProtection="1">
      <alignment horizontal="center" vertical="center"/>
      <protection hidden="1"/>
    </xf>
    <xf numFmtId="0" fontId="0" fillId="12" borderId="16" xfId="0" applyFill="1" applyBorder="1" applyAlignment="1">
      <alignment horizontal="center"/>
    </xf>
    <xf numFmtId="0" fontId="0" fillId="12" borderId="0" xfId="0" applyFill="1" applyBorder="1" applyAlignment="1">
      <alignment horizontal="center"/>
    </xf>
  </cellXfs>
  <cellStyles count="35">
    <cellStyle name="S0" xfId="4"/>
    <cellStyle name="S13" xfId="5"/>
    <cellStyle name="S14" xfId="6"/>
    <cellStyle name="S15" xfId="7"/>
    <cellStyle name="S16" xfId="8"/>
    <cellStyle name="S18" xfId="9"/>
    <cellStyle name="S19" xfId="10"/>
    <cellStyle name="S2" xfId="11"/>
    <cellStyle name="S20" xfId="12"/>
    <cellStyle name="S21" xfId="13"/>
    <cellStyle name="S22" xfId="14"/>
    <cellStyle name="S23" xfId="15"/>
    <cellStyle name="S24" xfId="16"/>
    <cellStyle name="S25" xfId="17"/>
    <cellStyle name="S28" xfId="18"/>
    <cellStyle name="S29" xfId="19"/>
    <cellStyle name="S3" xfId="20"/>
    <cellStyle name="S30" xfId="21"/>
    <cellStyle name="S31" xfId="22"/>
    <cellStyle name="S32" xfId="23"/>
    <cellStyle name="S33" xfId="24"/>
    <cellStyle name="S37" xfId="25"/>
    <cellStyle name="S4" xfId="26"/>
    <cellStyle name="S40" xfId="27"/>
    <cellStyle name="S44" xfId="28"/>
    <cellStyle name="S45" xfId="29"/>
    <cellStyle name="S46" xfId="30"/>
    <cellStyle name="S47" xfId="31"/>
    <cellStyle name="S5" xfId="32"/>
    <cellStyle name="Обычный" xfId="0" builtinId="0"/>
    <cellStyle name="Обычный 2" xfId="1"/>
    <cellStyle name="Обычный 2 10 10" xfId="34"/>
    <cellStyle name="Обычный 2 2" xfId="3"/>
    <cellStyle name="Обычный 4 2" xfId="2"/>
    <cellStyle name="Стиль 1" xfId="33"/>
  </cellStyles>
  <dxfs count="653">
    <dxf>
      <fill>
        <patternFill>
          <bgColor rgb="FFFF0000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1"/>
      </font>
    </dxf>
    <dxf>
      <font>
        <color theme="0"/>
      </font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rgb="FFEAF1DD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colors>
    <mruColors>
      <color rgb="FF0000FF"/>
      <color rgb="FF538ED5"/>
      <color rgb="FFEAF1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3</xdr:row>
          <xdr:rowOff>0</xdr:rowOff>
        </xdr:from>
        <xdr:to>
          <xdr:col>34</xdr:col>
          <xdr:colOff>0</xdr:colOff>
          <xdr:row>5</xdr:row>
          <xdr:rowOff>47625</xdr:rowOff>
        </xdr:to>
        <xdr:sp macro="" textlink="">
          <xdr:nvSpPr>
            <xdr:cNvPr id="57803" name="Button 6603" hidden="1">
              <a:extLst>
                <a:ext uri="{63B3BB69-23CF-44E3-9099-C40C66FF867C}">
                  <a14:compatExt spid="_x0000_s578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266700</xdr:rowOff>
        </xdr:from>
        <xdr:to>
          <xdr:col>34</xdr:col>
          <xdr:colOff>0</xdr:colOff>
          <xdr:row>8</xdr:row>
          <xdr:rowOff>66675</xdr:rowOff>
        </xdr:to>
        <xdr:sp macro="" textlink="">
          <xdr:nvSpPr>
            <xdr:cNvPr id="57804" name="Button 6604" hidden="1">
              <a:extLst>
                <a:ext uri="{63B3BB69-23CF-44E3-9099-C40C66FF867C}">
                  <a14:compatExt spid="_x0000_s578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mi1474/Documents/&#1044;&#1048;&#1055;&#1056;%20&#1085;&#1072;%202017-2022&#1075;&#1075;/&#1057;&#1084;&#1077;&#1090;&#1085;&#1099;&#1077;%20&#1088;&#1072;&#1089;&#1095;&#1077;&#1090;&#1099;/&#1055;&#1069;&#1057;_&#1056;&#1072;&#1089;&#1095;&#1077;&#1090;%20&#1055;&#1062;&#1051;%20&#1085;&#1072;%20&#1055;&#1048;&#1056;%20(2021-2022)_&#1087;&#1088;&#1086;&#1089;&#1077;&#108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ep/AppData/Local/Microsoft/Windows/Temporary%20Internet%20Files/Content.Outlook/JHAZFTDH/&#1052;&#1060;&#1059;&#1057;&#1057;%20&#1056;&#1077;&#1082;-&#1103;%20&#1055;&#1057;%20110%2010%20&#1070;&#1075;&#1086;-&#1047;&#1072;&#1087;&#1072;&#1076;&#1085;&#1072;&#1103;%20(&#1087;&#1088;&#1080;&#1084;&#1077;&#1088;%20&#1050;&#1091;&#1073;&#1072;&#1085;&#1100;&#1101;&#1085;&#1077;&#1088;&#1075;&#1086;%20&#1087;&#1086;%20&#1055;&#1048;&#1056;&#1072;&#108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 лота на ПИР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B6" t="str">
            <v>ВЛ 0,4 кВ с установкой ж/б опор и проводами  А до 35 мм2</v>
          </cell>
        </row>
        <row r="7">
          <cell r="B7" t="str">
            <v>ВЛ 0,4 кВ с установкой дерев. опор и проводами  А до 35 мм2</v>
          </cell>
          <cell r="M7" t="str">
            <v>Изменение констр. решений до 50 %</v>
          </cell>
        </row>
        <row r="8">
          <cell r="B8" t="str">
            <v>ВЛ 0,4 кВ с установкой ж/б опор и проводами  А до 35* мм2</v>
          </cell>
          <cell r="M8" t="str">
            <v>Изменение констр. решений более 50 %</v>
          </cell>
        </row>
        <row r="9">
          <cell r="B9" t="str">
            <v>ВЛ 0,4 кВ с установкой дерев. опор и проводами  А до 35* мм2</v>
          </cell>
          <cell r="M9" t="str">
            <v>Установка доп. оборудования ПС</v>
          </cell>
        </row>
        <row r="10">
          <cell r="B10" t="str">
            <v>ВЛ 0,4 кВ с установкой ж/б опор и проводами  А 70 мм2</v>
          </cell>
          <cell r="M10" t="str">
            <v>Замена распред. устройства ПС</v>
          </cell>
        </row>
        <row r="11">
          <cell r="B11" t="str">
            <v>ВЛ 0,4 кВ с установкой дерев. опор и проводами  А 70 мм2</v>
          </cell>
        </row>
        <row r="12">
          <cell r="B12" t="str">
            <v>ВЛ 0,4 кВ с установкой ж/б опор и проводами  А 95мм2</v>
          </cell>
        </row>
        <row r="13">
          <cell r="B13" t="str">
            <v>ВЛ 0,4 кВ с установкой дерев. опор и проводами  А 95 мм2</v>
          </cell>
          <cell r="O13">
            <v>1.0429999999999999</v>
          </cell>
        </row>
        <row r="14">
          <cell r="B14" t="str">
            <v>ВЛ 0,4 кВ с установкой ж/б опор и проводами  АС до 35 мм2</v>
          </cell>
          <cell r="O14">
            <v>1.012</v>
          </cell>
        </row>
        <row r="15">
          <cell r="B15" t="str">
            <v>ВЛ 0,4 кВ с установкой дерев. опор и проводами  АС до 35 мм2</v>
          </cell>
          <cell r="O15">
            <v>1.0129999999999999</v>
          </cell>
          <cell r="P15">
            <v>1.022</v>
          </cell>
        </row>
        <row r="16">
          <cell r="B16" t="str">
            <v>ВЛ 0,4 кВ с установкой ж/б опор и проводами  АС 70 мм2</v>
          </cell>
          <cell r="O16">
            <v>1.0529999999999999</v>
          </cell>
        </row>
        <row r="17">
          <cell r="B17" t="str">
            <v>ВЛ 0,4 кВ с установкой дерев. опор и проводами  АС 70 мм3</v>
          </cell>
          <cell r="O17">
            <v>1.028</v>
          </cell>
        </row>
        <row r="18">
          <cell r="B18" t="str">
            <v>ВЛ 0,4 кВ с установкой ж/б опор и проводами  АС 95мм2</v>
          </cell>
        </row>
        <row r="19">
          <cell r="B19" t="str">
            <v>ВЛ 0,4 кВ с установкой дерев. опор и проводами  АС 95 мм2</v>
          </cell>
        </row>
        <row r="20">
          <cell r="B20" t="str">
            <v>ВЛ 0,4 кВ с установкой ж/б опор и проводами СИП до 35 мм2</v>
          </cell>
        </row>
        <row r="21">
          <cell r="B21" t="str">
            <v>ВЛ 0.4 кВ с установкой ж/б опор, магистр. линией СИП 50 мм2, ответвлений и вводами сечением 16 мм2</v>
          </cell>
        </row>
        <row r="22">
          <cell r="B22" t="str">
            <v>ВЛ 0.4 кВ с установкой ж/б опор и проводами СИП 70 мм2</v>
          </cell>
        </row>
        <row r="23">
          <cell r="B23" t="str">
            <v>Подвеска провода 0,4 кВ по существ. ж/б опорам 1 цепь СИП до 35 мм2</v>
          </cell>
          <cell r="O23">
            <v>1.0029999999999999</v>
          </cell>
        </row>
        <row r="24">
          <cell r="B24" t="str">
            <v>Подвеска провода 0,4 кВ по существ. дерев. опорам 1 цепь СИП до 35 мм2</v>
          </cell>
          <cell r="O24">
            <v>1.006</v>
          </cell>
        </row>
        <row r="25">
          <cell r="B25" t="str">
            <v>Подвеска провода 0,4 кВ по существ. ж/б опорам 1 цепь СИП 50 мм2</v>
          </cell>
        </row>
        <row r="26">
          <cell r="B26" t="str">
            <v>Подвеска провода 0,4 кВ по существ. дерев. опорам 1 цепь СИП 50 мм2</v>
          </cell>
          <cell r="O26">
            <v>1.02</v>
          </cell>
          <cell r="R26">
            <v>1.02</v>
          </cell>
        </row>
        <row r="27">
          <cell r="B27" t="str">
            <v>Подвеска провода 0,4 кВ по существ. ж/б опорам 1 цепь СИП 70 мм2</v>
          </cell>
          <cell r="O27">
            <v>1.03</v>
          </cell>
          <cell r="R27">
            <v>1.04</v>
          </cell>
        </row>
        <row r="28">
          <cell r="B28" t="str">
            <v>Подвеска провода 0,4 кВ по существ. дерев. опорам 1 цепь СИП 70 мм2</v>
          </cell>
          <cell r="O28">
            <v>1.05</v>
          </cell>
          <cell r="R28">
            <v>1.08</v>
          </cell>
        </row>
        <row r="29">
          <cell r="B29" t="str">
            <v>Подвеска провода 0,4 кВ по существ. ж/б опорам 1 цепь АС до 35 мм2</v>
          </cell>
        </row>
        <row r="30">
          <cell r="B30" t="str">
            <v>Подвеска провода 0,4 кВ по существ. дерев. опорам 1 цепь АС до 35 мм2</v>
          </cell>
          <cell r="O30">
            <v>1.018</v>
          </cell>
          <cell r="P30">
            <v>1.036</v>
          </cell>
        </row>
        <row r="31">
          <cell r="B31" t="str">
            <v>Подвеска провода 0,4 кВ по существ. ж/б опорам 1 цепь АС 50 мм2</v>
          </cell>
        </row>
        <row r="32">
          <cell r="B32" t="str">
            <v>Подвеска провода 0,4 кВ по существ. дерев. опорам 1 цепь АС 50 мм2</v>
          </cell>
        </row>
        <row r="33">
          <cell r="B33" t="str">
            <v>Подвеска провода 0,4 кВ по существ. ж/б опорам 1 цепь АС до 70 мм2</v>
          </cell>
        </row>
        <row r="34">
          <cell r="B34" t="str">
            <v>Подвеска провода 0,4 кВ по существ. дерев. опорам 1 цепь АС до 70 мм2</v>
          </cell>
        </row>
        <row r="35">
          <cell r="B35" t="str">
            <v>ВЛ 0.4 кВ с установкой ж/б опор, совместной абонентской подвеской 2 цепей СИП 70 мм2 и подвеской освещения с ответвлениями и вводами сечением 16 мм2</v>
          </cell>
        </row>
        <row r="36">
          <cell r="B36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АС 50 мм2</v>
          </cell>
        </row>
        <row r="37">
          <cell r="B37" t="str">
            <v>ВЛ 0.4/10 кВ с установкой ж/б опор, с совместной подвеской 2 цепей проводов: 0,4 кВ СИП 50 мм2, 10 кВ АС 50 мм2</v>
          </cell>
        </row>
        <row r="38">
          <cell r="B38" t="str">
            <v>ВЛ 0.4/10 кВ с установкой ж/б опор, с совместной подвеской 2 цепей проводов: 0,4 кВ СИП 50 мм2, 10 кВ СИП 70 мм2</v>
          </cell>
        </row>
        <row r="39">
          <cell r="B39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СИП 70 мм2</v>
          </cell>
        </row>
        <row r="40">
          <cell r="B40" t="str">
            <v>ВЛ 6-10 кВ с установкой ж/б опор и подвеской проводов АС 35 мм2</v>
          </cell>
        </row>
        <row r="41">
          <cell r="B41" t="str">
            <v>ВЛ 6-10 кВ с установкой дерев. опор и подвеской проводов АС 35 мм2</v>
          </cell>
        </row>
        <row r="42">
          <cell r="B42" t="str">
            <v>ВЛ 6-10 кВ с установкой ж/б опор и подвеской проводов АС 50 мм2</v>
          </cell>
        </row>
        <row r="43">
          <cell r="B43" t="str">
            <v>ВЛ 6-10 кВ с установкой ж/б опор и подвеской проводов АС 70 мм2</v>
          </cell>
        </row>
        <row r="44">
          <cell r="B44" t="str">
            <v>ВЛ 6-10 кВ с установкой ж/б опор и подвеской 2 цепей проводов АС 70 мм2</v>
          </cell>
        </row>
        <row r="45">
          <cell r="B45" t="str">
            <v>ВЛ 6-10 кВ с установкой ж/б опор и подвеской проводов АС 95 мм2</v>
          </cell>
        </row>
        <row r="46">
          <cell r="B46" t="str">
            <v>ВЛ 6-10 кВ с установкой ж/б опор и подвеской проводов СИП 50 мм2</v>
          </cell>
        </row>
        <row r="47">
          <cell r="B47" t="str">
            <v>ВЛ 6-10 кВ с установкой ж/б опор и подвеской проводов СИП 70 мм2</v>
          </cell>
        </row>
        <row r="48">
          <cell r="B48" t="str">
            <v>ВЛ 6-10 кВ с установкой многогр. опор и подвеской проводов СИП 70 мм2</v>
          </cell>
        </row>
        <row r="49">
          <cell r="B49" t="str">
            <v>ВЛ 6-10 кВ с установкой ж/б опор и подвеской 2 цепей проводов СИП 70 мм2</v>
          </cell>
        </row>
        <row r="50">
          <cell r="B50" t="str">
            <v>ВЛ 35 кВ с установкой стальных опор и подвеской проводов АС 95 мм2</v>
          </cell>
        </row>
        <row r="51">
          <cell r="B51" t="str">
            <v>ВЛ 35 кВ с установкой ж/б опор (анк.-угл. стальных) и подвеской проводов АС 95 мм2</v>
          </cell>
        </row>
        <row r="52">
          <cell r="B52" t="str">
            <v>ВЛ 35 кВ с установкой стальных опор и подвеской 2 цепей проводов АС 95 мм2</v>
          </cell>
        </row>
        <row r="53">
          <cell r="B53" t="str">
            <v>ВЛ 35 кВ с установкой ж/б опор (анк.-угл. стальных) и подвеской 2 цепей проводов АС 95 мм2</v>
          </cell>
        </row>
        <row r="54">
          <cell r="B54" t="str">
            <v>ВЛ 35 кВ с установкой стальных опор и подвеской проводов АС до 150 мм2</v>
          </cell>
        </row>
        <row r="55">
          <cell r="B55" t="str">
            <v>ВЛ 35 кВ с установкой ж/б опор (анк.-угл. стальных) и подвеской проводов АС до 150 мм2</v>
          </cell>
        </row>
        <row r="56">
          <cell r="B56" t="str">
            <v>ВЛ 35 кВ с установкой многогр. опор и подвеской 2 цепей проводов АС до 150 мм2</v>
          </cell>
        </row>
        <row r="57">
          <cell r="B57" t="str">
            <v>ВЛ 35 кВ с установкой стальных опор и подвеской 2 цепей проводов АС до 150 мм2</v>
          </cell>
        </row>
        <row r="58">
          <cell r="B58" t="str">
            <v>ВЛ 35 кВ с установкой ж/б опор (анк.-угл. стальных) и подвеской 2 цепей проводов АС до 150 мм2</v>
          </cell>
        </row>
        <row r="59">
          <cell r="B59" t="str">
            <v>ВЛ 110 кВ с установкой стальных опор и подвеской проводов АС до 150 мм2</v>
          </cell>
        </row>
        <row r="60">
          <cell r="B60" t="str">
            <v>ВЛ 110 кВ с установкой ж/б опор (анк.-угл. стальных) и подвеской проводов АС до 150 мм2</v>
          </cell>
        </row>
        <row r="61">
          <cell r="B61" t="str">
            <v>ВЛ 110 кВ с установкой стальных опор и подвеской 2 цепей проводов АС до 150 мм2</v>
          </cell>
        </row>
        <row r="62">
          <cell r="B62" t="str">
            <v>ВЛ 110 кВ с установкой ж/б опор (анк.-угл. стальных) и подвеской 2 цепей проводов АС до 150 мм2</v>
          </cell>
        </row>
        <row r="63">
          <cell r="B63" t="str">
            <v>ВЛ 110 кВ с установкой стальных опор (анк.-угл. типовых) и подвеской 2 цепей проводов АС до 150 мм2</v>
          </cell>
        </row>
        <row r="64">
          <cell r="B64" t="str">
            <v>ВЛ 110 кВ с установкой стальных опор и подвеской проводов АС 185-240 мм2</v>
          </cell>
        </row>
        <row r="65">
          <cell r="B65" t="str">
            <v>ВЛ 110 кВ с установкой ж/б опор (анк.-угл. стальных) и подвеской проводов АС 185-240 мм2</v>
          </cell>
        </row>
        <row r="66">
          <cell r="B66" t="str">
            <v>ВЛ 110 кВ с установкой стальных опор (анк.-угл. типовых) и подвеской проводов АС 185-240 мм2</v>
          </cell>
        </row>
        <row r="67">
          <cell r="B67" t="str">
            <v>ВЛ 110 кВ с установкой многогр. опор и подвеской проводов АС 185-240 мм2</v>
          </cell>
        </row>
        <row r="68">
          <cell r="B68" t="str">
            <v>ВЛ 110 кВ с установкой стальных опор и подвеской 2 цепей проводов АС 185-240 мм2</v>
          </cell>
        </row>
        <row r="69">
          <cell r="B69" t="str">
            <v>ВЛ 110 кВ с установкой ж/б опор (анк.-угл. стальных) и подвеской 2 цепей проводов АС 185-240 мм2</v>
          </cell>
        </row>
        <row r="70">
          <cell r="B70" t="str">
            <v>ВЛ 110 кВ с установкой многогр. опор и подвеской 2 цепей проводов АС 185-240 мм2</v>
          </cell>
        </row>
        <row r="71">
          <cell r="B71" t="str">
            <v>ВЛ 110 кВ с установкой стальных опор и подвеской 2 цепей проводов ACCR Hawk 477-T16</v>
          </cell>
        </row>
        <row r="72">
          <cell r="B72" t="str">
            <v>ВЛ 220 кВ с установкой стальных опор и подвеской проводов АС 300 мм2</v>
          </cell>
        </row>
        <row r="73">
          <cell r="B73" t="str">
            <v>ВЛ 220 кВ с установкой стальных опор и подвеской 2 цепей проводов АС 300 мм2</v>
          </cell>
        </row>
        <row r="74">
          <cell r="B74" t="str">
            <v>ВЛ 220 кВ с установкой стальных опор и подвеской проводов АС 400 мм2</v>
          </cell>
        </row>
        <row r="75">
          <cell r="B75" t="str">
            <v>ВЛ 220 кВ с установкой стальных опор и подвеской 2 цепей проводов АС 400 мм2</v>
          </cell>
        </row>
        <row r="76">
          <cell r="B76" t="str">
            <v>ВЛ 220 кВ с установкой стальных опор и подвеской 2 цепей проводов АС 500 мм2</v>
          </cell>
        </row>
        <row r="77">
          <cell r="B77" t="str">
            <v>ВЛ 220 кВ с установкой ж/б двухстоечных опор и подвеской проводов АС 300 мм2</v>
          </cell>
        </row>
        <row r="78">
          <cell r="B78" t="str">
            <v>ВЛ 220 кВ с установкой ж/б двухстоечных опор и подвеской 2 цепей проводов АС 300 мм2</v>
          </cell>
        </row>
        <row r="79">
          <cell r="B79" t="str">
            <v>ВЛ 220 кВ с установкой ж/б двухстоечных опор и подвеской проводов АС 400 мм2</v>
          </cell>
        </row>
        <row r="80">
          <cell r="B80" t="str">
            <v>ВЛ 220 кВ с установкой стальных двухстоечных опор и подвеской 2 цепей проводов АС 400 мм2</v>
          </cell>
        </row>
        <row r="81">
          <cell r="B81" t="str">
            <v>ВЛ 220 кВ с установкой ж/б двухстоечных опор и подвеской 2 цепей проводов АС 400 мм2</v>
          </cell>
        </row>
        <row r="88">
          <cell r="B88" t="str">
            <v>Постоянный отвод земель ВЛ 0,4 кВ на деревянных опорах (40 шт./км)</v>
          </cell>
        </row>
        <row r="89">
          <cell r="B89" t="str">
            <v>Постоянный отвод земель ВЛ 0,4 кВ на ж/б опорах (40 шт./км)</v>
          </cell>
        </row>
        <row r="90">
          <cell r="B90" t="str">
            <v>Постоянный отвод земель ВЛ 6-10 кВ на деревянных опорах (20 шт./км)</v>
          </cell>
        </row>
        <row r="91">
          <cell r="B91" t="str">
            <v>Постоянный отвод земель ВЛ 6-10 кВ на ж/б опорах (20 шт./км)</v>
          </cell>
        </row>
        <row r="92">
          <cell r="B92" t="str">
            <v>Постоянный отвод земель ВЛ 35 кВ на деревянных опорах (8 шт./км)</v>
          </cell>
        </row>
        <row r="93">
          <cell r="B93" t="str">
            <v>Постоянный отвод земель ВЛ 35 кВ на стальных опорах (8 шт./км)</v>
          </cell>
        </row>
        <row r="94">
          <cell r="B94" t="str">
            <v>Постоянный отвод земель ВЛ 35 кВ на ж/б опорах (8 шт./км)</v>
          </cell>
        </row>
        <row r="95">
          <cell r="B95" t="str">
            <v>Постоянный отвод земель ВЛ 110 кВ на деревянных опорах (5 шт./км)</v>
          </cell>
        </row>
        <row r="96">
          <cell r="B96" t="str">
            <v>Постоянный отвод земель ВЛ 110 кВ на стальных опорах (5 шт./км)</v>
          </cell>
        </row>
        <row r="97">
          <cell r="B97" t="str">
            <v>Постоянный отвод земель ВЛ 110 кВ на ж/б опорах (5 шт./км)</v>
          </cell>
        </row>
        <row r="98">
          <cell r="B98" t="str">
            <v>Постоянный отвод земель ВЛ 220 кВ на деревянных опорах (3 шт./км)</v>
          </cell>
        </row>
        <row r="99">
          <cell r="B99" t="str">
            <v>Постоянный отвод земель ВЛ 220 кВ на стальных опорах (3 шт./км)</v>
          </cell>
        </row>
        <row r="100">
          <cell r="B100" t="str">
            <v>Постоянный отвод земель ВЛ 220 кВ на железобетонных опорах (3 шт./км)</v>
          </cell>
        </row>
        <row r="101">
          <cell r="B101" t="str">
            <v>Постоянный отвод земель ВЛ 220-330 кВ на стальных опорах</v>
          </cell>
        </row>
        <row r="102">
          <cell r="B102" t="str">
            <v>Постоянный отвод земель ВЛ 220-330 кВ на ж/б опорах</v>
          </cell>
        </row>
        <row r="103">
          <cell r="B103" t="str">
            <v>Постоянный отвод земель ВЛ 220-500 кВ на многогранных опорах</v>
          </cell>
        </row>
        <row r="104">
          <cell r="B104" t="str">
            <v>Постоянный отвод земель ВЛ 500-750 кВ на стальных опорах</v>
          </cell>
        </row>
        <row r="105">
          <cell r="B105" t="str">
            <v>Постоянный отвод земель ВЛ 500-750 кВ на стальных опорах с оттяжками</v>
          </cell>
        </row>
        <row r="106">
          <cell r="B106" t="str">
            <v>Постоянный отвод земель ВЛ 500-750 кВ на ж/б опорах</v>
          </cell>
        </row>
        <row r="109">
          <cell r="B109" t="str">
            <v>Затраты на вырубку просеки ВЛ 6-10 кВ</v>
          </cell>
        </row>
        <row r="110">
          <cell r="B110" t="str">
            <v>Затраты на вырубку просеки ВЛ 35 кВ</v>
          </cell>
        </row>
        <row r="111">
          <cell r="B111" t="str">
            <v>Затраты на вырубку просеки ВЛ 110 кВ</v>
          </cell>
        </row>
        <row r="112">
          <cell r="B112" t="str">
            <v>Затраты на вырубку просеки ВЛ 220 кВ</v>
          </cell>
        </row>
        <row r="113">
          <cell r="B113" t="str">
            <v>Затраты на устройство лежневых дорог ВЛ 0,4 кВ</v>
          </cell>
        </row>
        <row r="114">
          <cell r="B114" t="str">
            <v>Затраты на устройство лежневых дорог ВЛ 10 кВ</v>
          </cell>
        </row>
        <row r="115">
          <cell r="B115" t="str">
            <v>Затраты на устройство лежневых дорог ВЛ 35 кВ</v>
          </cell>
        </row>
        <row r="116">
          <cell r="B116" t="str">
            <v>Затраты на устройство лежневых дорог ВЛ 35 кВ</v>
          </cell>
        </row>
        <row r="117">
          <cell r="B117" t="str">
            <v>Затраты на устройство лежневых дорог ВЛ 120 кВ</v>
          </cell>
        </row>
        <row r="118">
          <cell r="B118" t="str">
            <v>0,4 кВ_Затраты на устройство лежневых дорог на топких болотах</v>
          </cell>
        </row>
        <row r="119">
          <cell r="B119" t="str">
            <v>10 кВ_Затраты на устройство лежневых дорог на топких болотах</v>
          </cell>
        </row>
        <row r="120">
          <cell r="B120" t="str">
            <v>35 кВ_Затраты на устройство лежневых дорог на топких болотах</v>
          </cell>
        </row>
        <row r="121">
          <cell r="B121" t="str">
            <v>110 кВ_Затраты на устройство лежневых дорог на топких болотах</v>
          </cell>
        </row>
        <row r="122">
          <cell r="B122" t="str">
            <v>220 кВ_Затраты на устройство лежневых дорог на топких болотах</v>
          </cell>
        </row>
        <row r="125">
          <cell r="B125" t="str">
            <v>Подвеска кабеля ОКСН на существующих опорах ВЛ 35 кВ</v>
          </cell>
        </row>
        <row r="126">
          <cell r="B126" t="str">
            <v>Подвеска кабеля ОКМС на существующих опорах ВЛ 110 кВ</v>
          </cell>
        </row>
        <row r="127">
          <cell r="B127" t="str">
            <v>Подвеска 2 кабелей ОКМС на существующих опорах ВЛ 110 кВ</v>
          </cell>
        </row>
        <row r="128">
          <cell r="B128" t="str">
            <v>Подвеска кабеля ОКГТ на существующих опорах ВЛ 220 кВ</v>
          </cell>
        </row>
        <row r="129">
          <cell r="B129" t="str">
            <v>Подвеска кабеля ASLH-D(S)bb 1*24SMF на существующих опорах ВЛ 220 кВ</v>
          </cell>
        </row>
        <row r="132">
          <cell r="B132" t="str">
            <v>КТП шкафного типа 1х40 кВА 6-10/0,4 кВ</v>
          </cell>
        </row>
        <row r="133">
          <cell r="B133" t="str">
            <v>КТП шкафного типа 1х63 кВА 6-10/0,4 кВ</v>
          </cell>
        </row>
        <row r="134">
          <cell r="B134" t="str">
            <v>КТП шкафного типа 1х100 кВА 6-10/0,4 кВ</v>
          </cell>
        </row>
        <row r="135">
          <cell r="B135" t="str">
            <v>КТП шкафного типа 1х160 кВА 6-10/0,4 кВ</v>
          </cell>
        </row>
        <row r="136">
          <cell r="B136" t="str">
            <v>КТП киоскового типа 1х250 кВА 6-10/0,4 кВ</v>
          </cell>
        </row>
        <row r="137">
          <cell r="B137" t="str">
            <v>КТП киоскового типа 1х400 кВА 6-10/0,4 кВ</v>
          </cell>
        </row>
        <row r="138">
          <cell r="B138" t="str">
            <v>КТП киоскового типа 1х630 кВА 6-10/0,4 кВ</v>
          </cell>
        </row>
        <row r="139">
          <cell r="B139" t="str">
            <v>КТП киоскового типа 1х1000 кВА 6-10/0,4 кВ</v>
          </cell>
        </row>
        <row r="140">
          <cell r="B140" t="str">
            <v>КТП киоскового типа 2х250 кВА 6-10/0,4 кВ</v>
          </cell>
        </row>
        <row r="141">
          <cell r="B141" t="str">
            <v>КТП киоскового типа 2х400 кВА 6-10/0,4 кВ</v>
          </cell>
        </row>
        <row r="142">
          <cell r="B142" t="str">
            <v>КТП киоскового типа 2х630 кВА 6-10/0,4 кВ</v>
          </cell>
        </row>
        <row r="143">
          <cell r="B143" t="str">
            <v>БКТП блочного типа 2х630 кВА 6-10/0,4 кВ</v>
          </cell>
        </row>
        <row r="144">
          <cell r="B144" t="str">
            <v>БКТП блочного типа 2х1000 кВА 6-10/0,4 кВ, панели "сэндвич"</v>
          </cell>
        </row>
        <row r="145">
          <cell r="B145" t="str">
            <v>БКТП блочного типа 2х1250 кВА 6-10/0,4 кВ, ячейки RM6</v>
          </cell>
        </row>
        <row r="146">
          <cell r="B146" t="str">
            <v>Реклоузер PBA/TEL-10-12,5/630</v>
          </cell>
        </row>
        <row r="149">
          <cell r="B149" t="str">
            <v>Демонтаж ж/б опор ВЛ 0,4 кВ</v>
          </cell>
        </row>
        <row r="150">
          <cell r="B150" t="str">
            <v>Демонтаж ж/б опор ВЛ 6-10 кВ</v>
          </cell>
        </row>
        <row r="151">
          <cell r="B151" t="str">
            <v>Демонтаж деревянных опор ВЛ 0,4 кВ</v>
          </cell>
        </row>
        <row r="152">
          <cell r="B152" t="str">
            <v>Демонтаж деревянных опор ВЛ 6-10 кВ</v>
          </cell>
        </row>
        <row r="153">
          <cell r="B153" t="str">
            <v>Демонтаж трех проводов ВЛ 0,4-10 кВ сечением до 95 мм2</v>
          </cell>
        </row>
        <row r="154">
          <cell r="B154" t="str">
            <v>Демонтаж ж/б опор ВЛ 35 кВ (анкерно-угловые стальные)</v>
          </cell>
        </row>
        <row r="155">
          <cell r="B155" t="str">
            <v>Демонтаж ж/б опор ВЛ 110 кВ (анкерно-угловые стальные)</v>
          </cell>
        </row>
        <row r="156">
          <cell r="B156" t="str">
            <v>Демонтаж ж/б опор ВЛ 220 кВ (анкерно-угловые стальные)</v>
          </cell>
        </row>
        <row r="157">
          <cell r="B157" t="str">
            <v>Демонтаж стальных опор ВЛ 35 кВ</v>
          </cell>
        </row>
        <row r="158">
          <cell r="B158" t="str">
            <v>Демонтаж стальных опор ВЛ 110 кВ</v>
          </cell>
        </row>
        <row r="159">
          <cell r="B159" t="str">
            <v>Демонтаж стальных опор ВЛ 220 кВ</v>
          </cell>
        </row>
        <row r="160">
          <cell r="B160" t="str">
            <v>Демонтаж трех проводов ВЛ-35 кВ сечением до 120 мм2 при пролете до 1 км</v>
          </cell>
        </row>
        <row r="161">
          <cell r="B161" t="str">
            <v>Демонтаж трех проводов ВЛ-35 кВ сечением до 120 мм2 при пролете свыше 1 км</v>
          </cell>
        </row>
        <row r="162">
          <cell r="B162" t="str">
            <v>Демонтаж трех проводов ВЛ-110 кВ сечением до 240 мм2 при пролете до 1 км</v>
          </cell>
        </row>
        <row r="163">
          <cell r="B163" t="str">
            <v>Демонтаж трех проводов ВЛ-110 кВ сечением до 240 мм2 при пролете свыше 1 км</v>
          </cell>
        </row>
        <row r="164">
          <cell r="B164" t="str">
            <v>Демонтаж трех проводов ВЛ-220 кВ сечением свыше 240 мм2 при пролете до 1 км</v>
          </cell>
        </row>
        <row r="165">
          <cell r="B165" t="str">
            <v>Демонтаж трех проводов ВЛ-220 кВ сечением свыше 240 мм2 при пролете свыше 1 км</v>
          </cell>
        </row>
        <row r="166">
          <cell r="B166" t="str">
            <v>Демонтаж шести проводов ВЛ-220 кВ сечением свыше 240 мм2 при пролете до 1 км</v>
          </cell>
        </row>
        <row r="167">
          <cell r="B167" t="str">
            <v>Демонтаж шести проводов ВЛ-220 кВ сечением свыше 240 мм2 при пролете свыше 1 км</v>
          </cell>
        </row>
        <row r="168">
          <cell r="B168" t="str">
            <v>Демонтаж одного грозащитного троса</v>
          </cell>
        </row>
        <row r="169">
          <cell r="B169" t="str">
            <v>Демонтаж двух грозащитных тросов</v>
          </cell>
        </row>
        <row r="172">
          <cell r="B172" t="str">
            <v>Ж/б опора одностоечная</v>
          </cell>
        </row>
        <row r="173">
          <cell r="B173" t="str">
            <v>Ж/б опора одностоечная с ж.б подкосом</v>
          </cell>
        </row>
        <row r="174">
          <cell r="B174" t="str">
            <v>Дерев. опора одностоечная</v>
          </cell>
        </row>
        <row r="175">
          <cell r="B175" t="str">
            <v>Дерев. опора одностоечная с ж/б подкосом</v>
          </cell>
        </row>
        <row r="176">
          <cell r="B176" t="str">
            <v>Ж/б опора одностоечная</v>
          </cell>
        </row>
        <row r="177">
          <cell r="B177" t="str">
            <v>Ж/б опора одностоечная с ж.б подкосом</v>
          </cell>
        </row>
        <row r="178">
          <cell r="B178" t="str">
            <v>Дерев. опора одностоечная</v>
          </cell>
        </row>
        <row r="179">
          <cell r="B179" t="str">
            <v>Дерев. опора одностоечная с ж/б подкосом</v>
          </cell>
        </row>
        <row r="182">
          <cell r="B182" t="str">
            <v>35 кВ промежут. свободност. одностоечные одноцепные</v>
          </cell>
        </row>
        <row r="183">
          <cell r="B183" t="str">
            <v>35 кВ промежут. свободност. одностоечные двухцепные</v>
          </cell>
        </row>
        <row r="184">
          <cell r="B184" t="str">
            <v>35 кВ анкерно-угловые, одноцепные на оттяжках, одностоечные</v>
          </cell>
        </row>
        <row r="185">
          <cell r="B185" t="str">
            <v>110 кВ промежут. свободност. одностоечные одноцепные</v>
          </cell>
        </row>
        <row r="186">
          <cell r="B186" t="str">
            <v>110 кВ промежут. свободност. одностоечные двухцепные</v>
          </cell>
        </row>
        <row r="187">
          <cell r="B187" t="str">
            <v>110 кВ анкерно-угловые, одноцепные на оттяжках, одностоечные</v>
          </cell>
        </row>
        <row r="188">
          <cell r="B188" t="str">
            <v>220 кВ промежут. свободност. одностоечные одноцепные</v>
          </cell>
        </row>
        <row r="189">
          <cell r="B189" t="str">
            <v>220 кВ промежут. свободност. одностоечные двухцепные</v>
          </cell>
        </row>
        <row r="190">
          <cell r="B190" t="str">
            <v>220 кВ анкерно-угловые, одноцепные на оттяжках, одностоечные</v>
          </cell>
        </row>
        <row r="193">
          <cell r="B193" t="str">
            <v>35 кВ промежут. свободност. одностоечные</v>
          </cell>
        </row>
        <row r="194">
          <cell r="B194" t="str">
            <v xml:space="preserve">35 кВ промежут. на оттяжках одностоечные </v>
          </cell>
        </row>
        <row r="195">
          <cell r="B195" t="str">
            <v>35 кВ анкерно-угловые, свободностоящие, одностоечные</v>
          </cell>
        </row>
        <row r="196">
          <cell r="B196" t="str">
            <v>110 кВ промежут. свободност. одностоечные</v>
          </cell>
        </row>
        <row r="197">
          <cell r="B197" t="str">
            <v xml:space="preserve">110 кВ промежут. на оттяжках одностоечные </v>
          </cell>
        </row>
        <row r="198">
          <cell r="B198" t="str">
            <v>110 кВ анкерно-угловые, свободностоящие, одностоечные</v>
          </cell>
        </row>
        <row r="199">
          <cell r="B199" t="str">
            <v>220 кВ промежут. свободност. одностоечные</v>
          </cell>
        </row>
        <row r="200">
          <cell r="B200" t="str">
            <v xml:space="preserve">220 кВ промежут. на оттяжках одностоечные </v>
          </cell>
        </row>
        <row r="201">
          <cell r="B201" t="str">
            <v>220 кВ анкерно-угловые, свободностоящие, одностоечные</v>
          </cell>
        </row>
        <row r="205">
          <cell r="B205" t="str">
            <v>КЛ 0,4 кВ без покрытия один кабель 16 мм2</v>
          </cell>
        </row>
        <row r="206">
          <cell r="B206" t="str">
            <v>КЛ 0,4 кВ без покрытия один кабель 25 мм2</v>
          </cell>
        </row>
        <row r="207">
          <cell r="B207" t="str">
            <v>КЛ 0,4 кВ без покрытия один кабель 35 мм2</v>
          </cell>
        </row>
        <row r="208">
          <cell r="B208" t="str">
            <v>КЛ 0,4 кВ без покрытия один кабель 50 мм2</v>
          </cell>
        </row>
        <row r="209">
          <cell r="B209" t="str">
            <v>КЛ 0,4 кВ без покрытия один кабель 70 мм2</v>
          </cell>
        </row>
        <row r="210">
          <cell r="B210" t="str">
            <v>КЛ 0,4 кВ без покрытия один кабель 95мм2</v>
          </cell>
        </row>
        <row r="211">
          <cell r="B211" t="str">
            <v>КЛ 0,4 кВ без покрытия один кабель 120 мм2</v>
          </cell>
        </row>
        <row r="212">
          <cell r="B212" t="str">
            <v>КЛ 0,4 кВ без покрытия один кабель 150 мм2</v>
          </cell>
        </row>
        <row r="213">
          <cell r="B213" t="str">
            <v>КЛ 0,4 кВ с покрытием кирпичом один кабель 16 мм2</v>
          </cell>
        </row>
        <row r="214">
          <cell r="B214" t="str">
            <v>КЛ 0,4 кВ с покрытием кирпичом один кабель 25 мм2</v>
          </cell>
        </row>
        <row r="215">
          <cell r="B215" t="str">
            <v>КЛ 0,4 кВ с покрытием кирпичом один кабель 35 мм2</v>
          </cell>
        </row>
        <row r="216">
          <cell r="B216" t="str">
            <v>КЛ 0,4 кВ с покрытием кирпичом один кабель 50 мм2</v>
          </cell>
        </row>
        <row r="217">
          <cell r="B217" t="str">
            <v>КЛ 0,4 кВ с покрытием кирпичом один кабель70 мм2</v>
          </cell>
        </row>
        <row r="218">
          <cell r="B218" t="str">
            <v>КЛ 0,4 кВ с покрытием кирпичом один кабель 95 мм2</v>
          </cell>
        </row>
        <row r="219">
          <cell r="B219" t="str">
            <v>КЛ 0,4 кВ с покрытием кирпичом один кабель 120 мм2</v>
          </cell>
        </row>
        <row r="220">
          <cell r="B220" t="str">
            <v>КЛ 0,4 кВ с покрытием кирпичом один кабель 150 мм2</v>
          </cell>
        </row>
        <row r="221">
          <cell r="B221" t="str">
            <v>КЛ 0,4 кВ в асбестоцементной трубе один кабель 16 мм2</v>
          </cell>
        </row>
        <row r="222">
          <cell r="B222" t="str">
            <v>КЛ 0,4 кВ в асбестоцементной трубе один кабель 25 мм2</v>
          </cell>
        </row>
        <row r="223">
          <cell r="B223" t="str">
            <v>КЛ 0,4 кВ в асбестоцементной трубе один кабель 35 мм2</v>
          </cell>
        </row>
        <row r="224">
          <cell r="B224" t="str">
            <v>КЛ 0,4 кВ в асбестоцементной трубе один кабель 50 мм2</v>
          </cell>
        </row>
        <row r="225">
          <cell r="B225" t="str">
            <v>КЛ 0,4 кВ в асбестоцементной трубе один кабель 70 мм2</v>
          </cell>
        </row>
        <row r="226">
          <cell r="B226" t="str">
            <v>КЛ 0,4 кВ в асбестоцементной трубе один кабель 95 мм2</v>
          </cell>
        </row>
        <row r="227">
          <cell r="B227" t="str">
            <v>КЛ 0,4 кВ в асбестоцементной трубе один кабель 120 мм2</v>
          </cell>
        </row>
        <row r="228">
          <cell r="B228" t="str">
            <v>КЛ 0,4 кВ в асбестоцементной трубе один кабель 150 мм2</v>
          </cell>
        </row>
        <row r="229">
          <cell r="B229" t="str">
            <v>КЛ 0,4 кВ без покрытия следующий кабель 16 мм2</v>
          </cell>
        </row>
        <row r="230">
          <cell r="B230" t="str">
            <v>КЛ 0,4 кВ без покрытия следующий кабель 25 мм2</v>
          </cell>
        </row>
        <row r="231">
          <cell r="B231" t="str">
            <v>КЛ 0,4 кВ без покрытия следующий кабель 35 мм2</v>
          </cell>
        </row>
        <row r="232">
          <cell r="B232" t="str">
            <v>КЛ 0,4 кВ без покрытия следующий кабель 50 мм2</v>
          </cell>
        </row>
        <row r="233">
          <cell r="B233" t="str">
            <v>КЛ 0,4 кВ без покрытия следующий кабель 70 мм2</v>
          </cell>
        </row>
        <row r="234">
          <cell r="B234" t="str">
            <v>КЛ 0,4 кВ без покрытия следующий кабель 95мм2</v>
          </cell>
        </row>
        <row r="235">
          <cell r="B235" t="str">
            <v>КЛ 0,4 кВ без покрытия следующий кабель 120 мм2</v>
          </cell>
        </row>
        <row r="236">
          <cell r="B236" t="str">
            <v>КЛ 0,4 кВ без покрытия следующий кабель 150 мм2</v>
          </cell>
        </row>
        <row r="237">
          <cell r="B237" t="str">
            <v>КЛ 0,4 кВ с покрытием кирпичом следующий кабель 16 мм2</v>
          </cell>
        </row>
        <row r="238">
          <cell r="B238" t="str">
            <v>КЛ 0,4 кВ с покрытием кирпичом следующий кабель 25 мм2</v>
          </cell>
        </row>
        <row r="239">
          <cell r="B239" t="str">
            <v>КЛ 0,4 кВ с покрытием кирпичом следующий кабель 35 мм2</v>
          </cell>
        </row>
        <row r="240">
          <cell r="B240" t="str">
            <v>КЛ 0,4 кВ с покрытием кирпичом следующий кабель 50 мм2</v>
          </cell>
        </row>
        <row r="241">
          <cell r="B241" t="str">
            <v>КЛ 0,4 кВ с покрытием кирпичом следующий кабель70 мм2</v>
          </cell>
        </row>
        <row r="242">
          <cell r="B242" t="str">
            <v>КЛ 0,4 кВ с покрытием кирпичом следующий кабель 95 мм2</v>
          </cell>
        </row>
        <row r="243">
          <cell r="B243" t="str">
            <v>КЛ 0,4 кВ с покрытием кирпичом следующий кабель 120 мм2</v>
          </cell>
        </row>
        <row r="244">
          <cell r="B244" t="str">
            <v>КЛ 0,4 кВ с покрытием кирпичом следующий кабель 150 мм2</v>
          </cell>
        </row>
        <row r="245">
          <cell r="B245" t="str">
            <v>КЛ 0,4 кВ в асбестоцементной трубе следующий кабель 16 мм2</v>
          </cell>
        </row>
        <row r="246">
          <cell r="B246" t="str">
            <v>КЛ 0,4 кВ в асбестоцементной трубе следующий кабель 25 мм2</v>
          </cell>
        </row>
        <row r="247">
          <cell r="B247" t="str">
            <v>КЛ 0,4 кВ в асбестоцементной трубе следующий кабель 35 мм2</v>
          </cell>
        </row>
        <row r="248">
          <cell r="B248" t="str">
            <v>КЛ 0,4 кВ в асбестоцементной трубе следующий кабель 50 мм2</v>
          </cell>
        </row>
        <row r="249">
          <cell r="B249" t="str">
            <v>КЛ 0,4 кВ в асбестоцементной трубе следующий кабель 70 мм2</v>
          </cell>
        </row>
        <row r="250">
          <cell r="B250" t="str">
            <v>КЛ 0,4 кВ в асбестоцементной трубе следующий кабель 95 мм2</v>
          </cell>
        </row>
        <row r="251">
          <cell r="B251" t="str">
            <v>КЛ 0,4 кВ в асбестоцементной трубе следующий кабель 120 мм2</v>
          </cell>
        </row>
        <row r="252">
          <cell r="B252" t="str">
            <v>КЛ 0,4 кВ в асбестоцементной трубе следующий кабель 150 мм2</v>
          </cell>
        </row>
        <row r="253">
          <cell r="B253" t="str">
            <v>КЛ 6-10 кВ один кабель ААБлУ, ААШвУ в траншее 50 мм2</v>
          </cell>
        </row>
        <row r="254">
          <cell r="B254" t="str">
            <v>КЛ 6-10 кВ один кабель ААБлУ, ААШвУ в траншее 70-95 мм2</v>
          </cell>
        </row>
        <row r="255">
          <cell r="B255" t="str">
            <v>КЛ 6-10 кВ один кабель ААБлУ, ААШвУ в траншее 120 мм2</v>
          </cell>
        </row>
        <row r="256">
          <cell r="B256" t="str">
            <v>КЛ 6-10 кВ один кабель ААБлУ, ААШвУ в траншее 150 мм2</v>
          </cell>
        </row>
        <row r="257">
          <cell r="B257" t="str">
            <v>КЛ 6-10 кВ один кабель ААБлУ, ААШвУ в траншее 185 мм2</v>
          </cell>
        </row>
        <row r="258">
          <cell r="B258" t="str">
            <v>КЛ 6-10 кВ один кабель ААБлУ, ААШвУ в траншее 240 мм2</v>
          </cell>
        </row>
        <row r="259">
          <cell r="B259" t="str">
            <v>КЛ 6-10 кВ один кабель АСБ в траншее 50 мм2</v>
          </cell>
        </row>
        <row r="260">
          <cell r="B260" t="str">
            <v>КЛ 6-10 кВ один кабель АСБ в траншее 70-95 мм2</v>
          </cell>
        </row>
        <row r="261">
          <cell r="B261" t="str">
            <v>КЛ 6-10 кВ один кабель АСБ в траншее 120 мм2</v>
          </cell>
        </row>
        <row r="262">
          <cell r="B262" t="str">
            <v>КЛ 6-10 кВ один кабель АСБ в траншее 150 мм2</v>
          </cell>
        </row>
        <row r="263">
          <cell r="B263" t="str">
            <v>КЛ 6-10 кВ один кабель АСБ в траншее 185 мм2</v>
          </cell>
        </row>
        <row r="264">
          <cell r="B264" t="str">
            <v>КЛ 6-10 кВ один кабель АСБ в траншее 240 мм2</v>
          </cell>
        </row>
        <row r="265">
          <cell r="B265" t="str">
            <v>КЛ 10 кВ один кабель АПвПг 3 (1х70/35)</v>
          </cell>
        </row>
        <row r="266">
          <cell r="B266" t="str">
            <v>КЛ 10 кВ один кабель АПвПг 3 (1х95/35)</v>
          </cell>
        </row>
        <row r="267">
          <cell r="B267" t="str">
            <v>КЛ 10 кВ один кабель АПвПг 3 (1х120/35)</v>
          </cell>
        </row>
        <row r="268">
          <cell r="B268" t="str">
            <v>КЛ 10 кВ один кабель АПвПг 3 (1х150/35)</v>
          </cell>
        </row>
        <row r="269">
          <cell r="B269" t="str">
            <v>КЛ 10 кВ один кабель АПвПг 3 (1х185/35)</v>
          </cell>
        </row>
        <row r="270">
          <cell r="B270" t="str">
            <v>КЛ 10 кВ один кабель АПвПг 3 (1х240/35)</v>
          </cell>
        </row>
        <row r="271">
          <cell r="B271" t="str">
            <v>КЛ 10 кВ один кабель АПвПг 3 (1х400/35)</v>
          </cell>
        </row>
        <row r="272">
          <cell r="B272" t="str">
            <v>КЛ 10 кВ один кабель АПвПг 3 (1х500/35)</v>
          </cell>
        </row>
        <row r="273">
          <cell r="B273" t="str">
            <v>КЛ 6-10 кВ два кабеля ААБлУ, ААШвУ в траншее 50 мм2</v>
          </cell>
        </row>
        <row r="274">
          <cell r="B274" t="str">
            <v>КЛ 6-10 кВ два кабеля ААБлУ, ААШвУ в траншее 70-95 мм2</v>
          </cell>
        </row>
        <row r="275">
          <cell r="B275" t="str">
            <v>КЛ 6-10 кВ два кабеля ААБлУ, ААШвУ в траншее 120 мм2</v>
          </cell>
        </row>
        <row r="276">
          <cell r="B276" t="str">
            <v>КЛ 6-10 кВ два кабеля ААБлУ, ААШвУ в траншее 150 мм2</v>
          </cell>
        </row>
        <row r="277">
          <cell r="B277" t="str">
            <v>КЛ 6-10 кВ два кабеля ААБлУ, ААШвУ в траншее 185 мм2</v>
          </cell>
        </row>
        <row r="278">
          <cell r="B278" t="str">
            <v>КЛ 6-10 кВ два кабеля ААБлУ, ААШвУ в траншее 240 мм2</v>
          </cell>
        </row>
        <row r="279">
          <cell r="B279" t="str">
            <v>КЛ 6-10 кВ два кабеля АСБ в траншее 50 мм2</v>
          </cell>
        </row>
        <row r="280">
          <cell r="B280" t="str">
            <v>КЛ 6-10 кВ два кабеля АСБ в траншее 70-95 мм2</v>
          </cell>
        </row>
        <row r="281">
          <cell r="B281" t="str">
            <v>КЛ 6-10 кВ два кабеля АСБ в траншее 120 мм2</v>
          </cell>
        </row>
        <row r="282">
          <cell r="B282" t="str">
            <v>КЛ 6-10 кВ два кабеля АСБ в траншее 150 мм2</v>
          </cell>
        </row>
        <row r="283">
          <cell r="B283" t="str">
            <v>КЛ 6-10 кВ два кабеля АСБ в траншее 185 мм2</v>
          </cell>
        </row>
        <row r="284">
          <cell r="B284" t="str">
            <v>КЛ 6-10 кВ два кабеля АСБ в траншее 240 мм2</v>
          </cell>
        </row>
        <row r="285">
          <cell r="B285" t="str">
            <v>КЛ 10 кВ два кабеля АПвПг 3 (1х70/35)</v>
          </cell>
        </row>
        <row r="286">
          <cell r="B286" t="str">
            <v>КЛ 10 кВ два кабеля АПвПг 3 (1х95/35)</v>
          </cell>
        </row>
        <row r="287">
          <cell r="B287" t="str">
            <v>КЛ 10 кВ два кабеля АПвПг 3 (1х120/35)</v>
          </cell>
        </row>
        <row r="288">
          <cell r="B288" t="str">
            <v>КЛ 10 кВ два кабеля АПвПг 3 (1х150/35)</v>
          </cell>
        </row>
        <row r="289">
          <cell r="B289" t="str">
            <v>КЛ 10 кВ два кабеля АПвПг 3 (1х185/35)</v>
          </cell>
        </row>
        <row r="290">
          <cell r="B290" t="str">
            <v>КЛ 10 кВ два кабеля АПвПг 3 (1х240/35)</v>
          </cell>
        </row>
        <row r="291">
          <cell r="B291" t="str">
            <v>КЛ 10 кВ два кабеля АПвПг 3 (1х400/35)</v>
          </cell>
        </row>
        <row r="292">
          <cell r="B292" t="str">
            <v>КЛ 10 кВ два кабеля АПвПг 3 (1х500/35)</v>
          </cell>
        </row>
        <row r="293">
          <cell r="B293" t="str">
            <v>КЛ 6-10 кВ последующий кабель ААБлУ, ААШвУ в траншее 50 мм2</v>
          </cell>
        </row>
        <row r="294">
          <cell r="B294" t="str">
            <v>КЛ 6-10 кВ последующий кабель ААБлУ, ААШвУ в траншее 70-95 мм2</v>
          </cell>
        </row>
        <row r="295">
          <cell r="B295" t="str">
            <v>КЛ 6-10 кВ последующий кабель ААБлУ, ААШвУ в траншее 120 мм2</v>
          </cell>
        </row>
        <row r="296">
          <cell r="B296" t="str">
            <v>КЛ 6-10 кВ последующий кабель ААБлУ, ААШвУ в траншее 150 мм2</v>
          </cell>
        </row>
        <row r="297">
          <cell r="B297" t="str">
            <v>КЛ 6-10 кВ последующий кабель ААБлУ, ААШвУ в траншее 185 мм2</v>
          </cell>
        </row>
        <row r="298">
          <cell r="B298" t="str">
            <v>КЛ 6-10 кВ последующий кабель ААБлУ, ААШвУ в траншее 240 мм2</v>
          </cell>
        </row>
        <row r="299">
          <cell r="B299" t="str">
            <v>КЛ 6-10 кВ последующий кабель АСБ в траншее 50 мм2</v>
          </cell>
        </row>
        <row r="300">
          <cell r="B300" t="str">
            <v>КЛ 6-10 кВ последующий кабель АСБ в траншее 70-95 мм2</v>
          </cell>
        </row>
        <row r="301">
          <cell r="B301" t="str">
            <v>КЛ 6-10 кВ последующий кабель АСБ в траншее 120 мм2</v>
          </cell>
        </row>
        <row r="302">
          <cell r="B302" t="str">
            <v>КЛ 6-10 кВ последующий кабель АСБ в траншее 150 мм2</v>
          </cell>
        </row>
        <row r="303">
          <cell r="B303" t="str">
            <v>КЛ 6-10 кВ последующий кабель АСБ в траншее 185 мм2</v>
          </cell>
        </row>
        <row r="304">
          <cell r="B304" t="str">
            <v>КЛ 6-10 кВ последующий кабель АСБ в траншее 240 мм2</v>
          </cell>
        </row>
        <row r="305">
          <cell r="B305" t="str">
            <v>КЛ 10 кВ последующий кабель АПвПг 3 (1х70/35)</v>
          </cell>
        </row>
        <row r="306">
          <cell r="B306" t="str">
            <v>КЛ 10 кВ последующий кабель АПвПг 3 (1х95/35)</v>
          </cell>
        </row>
        <row r="307">
          <cell r="B307" t="str">
            <v>КЛ 10 кВ последующий кабель АПвПг 3 (1х120/35)</v>
          </cell>
        </row>
        <row r="308">
          <cell r="B308" t="str">
            <v>КЛ 10 кВ последующий кабель АПвПг 3 (1х150/35)</v>
          </cell>
        </row>
        <row r="309">
          <cell r="B309" t="str">
            <v>КЛ 10 кВ последующий кабель АПвПг 3 (1х185/35)</v>
          </cell>
        </row>
        <row r="310">
          <cell r="B310" t="str">
            <v>КЛ 10 кВ последующий кабель АПвПг 3 (1х240/35)</v>
          </cell>
        </row>
        <row r="311">
          <cell r="B311" t="str">
            <v>КЛ 10 кВ последующий кабель АПвПг 3 (1х400/35)</v>
          </cell>
        </row>
        <row r="312">
          <cell r="B312" t="str">
            <v>КЛ 10 кВ последующий кабель АПвПг 3 (1х500/35)</v>
          </cell>
        </row>
        <row r="313">
          <cell r="B313" t="str">
            <v>КЛ 110 кВ один кабель АПвП2г 300 мм2</v>
          </cell>
        </row>
        <row r="314">
          <cell r="B314" t="str">
            <v>КЛ 110 кВ один кабель A2XS(FL)2Y 300 мм2</v>
          </cell>
        </row>
        <row r="315">
          <cell r="B315" t="str">
            <v>КЛ 110 кВ один кабель МВДТ 550 мм2</v>
          </cell>
        </row>
        <row r="316">
          <cell r="B316" t="str">
            <v>КЛ 110 кВ один кабель АПвП2г 550 мм2</v>
          </cell>
        </row>
        <row r="317">
          <cell r="B317" t="str">
            <v>КЛ 110 кВ один кабель ПвП2г 1000 мм2</v>
          </cell>
        </row>
        <row r="318">
          <cell r="B318" t="str">
            <v>КЛ 110 кВ один кабель ПвП2г 1200 мм2</v>
          </cell>
        </row>
        <row r="319">
          <cell r="B319" t="str">
            <v>КЛ 220 кВ один кабель 2xS(FL)2Y-LWL 1600 мм2</v>
          </cell>
        </row>
        <row r="320">
          <cell r="B320" t="str">
            <v>КЛ 220 кВ один кабель МВДТ 550 мм2</v>
          </cell>
        </row>
        <row r="321">
          <cell r="B321" t="str">
            <v>КЛ 220 кВ один кабель ПвПу2г 2000 мм2</v>
          </cell>
        </row>
        <row r="322">
          <cell r="B322" t="str">
            <v>КЛ 110 кВ два кабеля АПвП2г 300 мм2</v>
          </cell>
        </row>
        <row r="323">
          <cell r="B323" t="str">
            <v>КЛ 110 кВ два кабеля A2XS(FL)2Y 300 мм2</v>
          </cell>
        </row>
        <row r="324">
          <cell r="B324" t="str">
            <v>КЛ 110 кВ два кабеля МВДТ 550 мм2</v>
          </cell>
        </row>
        <row r="325">
          <cell r="B325" t="str">
            <v>КЛ 110 кВ два кабеля АПвП2г 550 мм2</v>
          </cell>
        </row>
        <row r="326">
          <cell r="B326" t="str">
            <v>КЛ 110 кВ два кабеля ПвП2г 1000 мм2</v>
          </cell>
        </row>
        <row r="327">
          <cell r="B327" t="str">
            <v>КЛ 110 кВ два кабеля ПвП2г 1200 мм2</v>
          </cell>
        </row>
        <row r="328">
          <cell r="B328" t="str">
            <v>КЛ 110 кВ два кабеля FXLJ-4FO 1200 мм2</v>
          </cell>
        </row>
        <row r="329">
          <cell r="B329" t="str">
            <v>КЛ 220 кВ два кабеля МВДТ 550 мм2</v>
          </cell>
        </row>
        <row r="330">
          <cell r="B330" t="str">
            <v>КЛ 220 кВ два кабеля ПвПу2г 2000 мм2</v>
          </cell>
        </row>
        <row r="331">
          <cell r="B331" t="str">
            <v>КЛ 110 кВ последующий кабель АПвП2г 300 мм2</v>
          </cell>
        </row>
        <row r="332">
          <cell r="B332" t="str">
            <v>КЛ 110 кВ последующий кабель A2XS(FL)2Y 300 мм2</v>
          </cell>
        </row>
        <row r="333">
          <cell r="B333" t="str">
            <v>КЛ 110 кВ последующий кабель МВДТ 550 мм2</v>
          </cell>
        </row>
        <row r="334">
          <cell r="B334" t="str">
            <v>КЛ 110 кВ последующий кабель АПвП2г 550 мм2</v>
          </cell>
        </row>
        <row r="335">
          <cell r="B335" t="str">
            <v>КЛ 110 кВ последующий кабель ПвП2г 1000 мм2</v>
          </cell>
        </row>
        <row r="336">
          <cell r="B336" t="str">
            <v>КЛ 110 кВ последующий кабель ПвП2г 1200 мм2</v>
          </cell>
        </row>
        <row r="337">
          <cell r="B337" t="str">
            <v>КЛ 220 кВ последующий кабель 2xS(FL)2Y-LWL 1600 мм2</v>
          </cell>
        </row>
        <row r="338">
          <cell r="B338" t="str">
            <v>КЛ 220 кВ последующий кабель МВДТ 550 мм2</v>
          </cell>
        </row>
        <row r="339">
          <cell r="B339" t="str">
            <v>КЛ 220 кВ последующий кабель ПвПу2г 2000 мм2</v>
          </cell>
        </row>
        <row r="344">
          <cell r="B344" t="str">
            <v>Переход 0,4-1,0 кВ ГНБ (1 скважина)</v>
          </cell>
        </row>
        <row r="345">
          <cell r="B345" t="str">
            <v>Переход 0,4-1,0 кВ ГНБ (2 скважины)</v>
          </cell>
        </row>
        <row r="346">
          <cell r="B346" t="str">
            <v>Переход 3,0-10 кВ ГНБ (1 скважина)</v>
          </cell>
        </row>
        <row r="347">
          <cell r="B347" t="str">
            <v>Переход 3,0-10 кВ ГНБ (2 скважины)</v>
          </cell>
        </row>
        <row r="348">
          <cell r="B348" t="str">
            <v>Переход 110-220 кВ ГНБ (1 скважина)</v>
          </cell>
        </row>
        <row r="349">
          <cell r="B349" t="str">
            <v>Переход 110-220 кВ ГНБ (2 скважины)</v>
          </cell>
        </row>
        <row r="350">
          <cell r="B350" t="str">
            <v>Метод протаскивания трубы (1 скважина)</v>
          </cell>
        </row>
        <row r="351">
          <cell r="B351" t="str">
            <v>Метод протаскивания трубы (2 скважины)</v>
          </cell>
        </row>
        <row r="354">
          <cell r="B354" t="str">
            <v>Восстановление тротуарной плитки</v>
          </cell>
        </row>
        <row r="355">
          <cell r="B355" t="str">
            <v>Восстановление тротуара с бордюром</v>
          </cell>
        </row>
        <row r="356">
          <cell r="B356" t="str">
            <v>Восстановление тротуара без бордюра</v>
          </cell>
        </row>
        <row r="357">
          <cell r="B357" t="str">
            <v>Восстановление дорожного полотна</v>
          </cell>
        </row>
        <row r="358">
          <cell r="B358" t="str">
            <v>Восстановление зеленой зоны</v>
          </cell>
        </row>
        <row r="361">
          <cell r="B361" t="str">
            <v>Кабель ДКП-7-6z-4/12 совместно с КЛ</v>
          </cell>
        </row>
        <row r="362">
          <cell r="B362" t="str">
            <v>Кабель ОПС-024E12 совместно с КЛ</v>
          </cell>
        </row>
        <row r="363">
          <cell r="B363" t="str">
            <v>Кабель ОКБ-0,22-24</v>
          </cell>
        </row>
        <row r="367">
          <cell r="B367" t="str">
            <v>ПС 35/10 кВ, 2х4 МВА, схемы35-9/10-1; линии 2 ВН/16 линий НН</v>
          </cell>
        </row>
        <row r="368">
          <cell r="B368" t="str">
            <v>ПС 35/10 кВ, 2х4 МВА, схемы 35-5Н/10-1; линии 2 ВН/16 линий НН</v>
          </cell>
        </row>
        <row r="369">
          <cell r="B369" t="str">
            <v>ПС 35/10 кВ, 2х10 МВА, схемы 35-5АН/10-1; линии 2 ВН/16 линий НН</v>
          </cell>
        </row>
        <row r="370">
          <cell r="B370" t="str">
            <v>ПС 110/10-6 кВ, 2х40 МВА, схемы 110-5АН/10(6)-1; линии 2 ВН/16 линий НН</v>
          </cell>
        </row>
        <row r="371">
          <cell r="B371" t="str">
            <v>ПС 110/6 кВ, 2х40 МВА, схемы 110-5Н/10-1; линии 2 ВН/22 линии НН</v>
          </cell>
        </row>
        <row r="372">
          <cell r="B372" t="str">
            <v>ПС 110/10 кВ 2х10 МВА, схемы 110-4Н/10-1; линии 2 ВН/16 линий НН</v>
          </cell>
        </row>
        <row r="373">
          <cell r="B373" t="str">
            <v>ПС 110/10 кВ, 2х25 МВА, схемы 110-12/10-1; линии 2 ВН/22 НН</v>
          </cell>
        </row>
        <row r="374">
          <cell r="B374" t="str">
            <v>ПС 110/10 кВ, 2х25 МВА, схемы 110-13/10-1; линии 2 ВН/22 НН</v>
          </cell>
        </row>
        <row r="375">
          <cell r="B375" t="str">
            <v>ПС 110/10 кВ, 2х25 МВА, схемы 110-5Н/10-2; линии 2 ВН/20 НН</v>
          </cell>
        </row>
        <row r="376">
          <cell r="B376" t="str">
            <v>ПС 110/10 кВ, 2х40 МВА, схемы 110-5Н/10-1; линии 2 ВН/36 НН</v>
          </cell>
        </row>
        <row r="377">
          <cell r="B377" t="str">
            <v>ПС 110/35/10 кВ, 2х10 МВА, схемы 110-9/35-9/10-1; линии 2 ВН/4 СН/36 НН</v>
          </cell>
        </row>
        <row r="378">
          <cell r="B378" t="str">
            <v>ПС 110/35/10 кВ, 2х25 МВА, схемы 110-12/35-9/10-1; линии 4 ВН/4 СН/36 НН</v>
          </cell>
        </row>
        <row r="379">
          <cell r="B379" t="str">
            <v>ПС 110/35/10 кВ, 2х25 МВА, схемы 110-13/35-9/10-1; линии 4 ВН/4 СН/36 НН</v>
          </cell>
        </row>
        <row r="380">
          <cell r="B380" t="str">
            <v>ПС 110/35/10 кВ, 2х40 МВА, схемы 110-13/35-9/10-1; линии 4 ВН/4 СН/36 НН</v>
          </cell>
        </row>
        <row r="381">
          <cell r="B381" t="str">
            <v>ПС 220/10 кВ, 2х63 МВА, схемы 220-5Н/10-1; линии 2 ВН/36 НН</v>
          </cell>
        </row>
        <row r="382">
          <cell r="B382" t="str">
            <v>ПС 220/35/10 кВ, 2х25 МВА, схемы 220-5Н/35-9/10-1; линии 2 ВН/4 СН/24 НН</v>
          </cell>
        </row>
        <row r="383">
          <cell r="B383" t="str">
            <v>ПС 220/110/6 кВ, 2х125 МВА, схемы 220-7/110-9/6-1; линии 2 ВН/2 СН/36 НН</v>
          </cell>
        </row>
        <row r="384">
          <cell r="B384" t="str">
            <v>ПС 220/110 кВ, 2х125 МВА, схемы 220-7/110-9; линии 2 ВН/7 СН</v>
          </cell>
        </row>
        <row r="385">
          <cell r="B385" t="str">
            <v>ПС 220/110/10 кВ, 2х250 МВА, схемы 220-16/110-9/10-1; линии 6 ВН/4 СН/36 НН</v>
          </cell>
        </row>
        <row r="388">
          <cell r="B388" t="str">
            <v>ПС 35/10 кВ, 2х4 МВА, схемы35-9/10-1; линии 2 ВН/16 линий НН</v>
          </cell>
        </row>
        <row r="389">
          <cell r="B389" t="str">
            <v>ПС 35/10 кВ, 2х4 МВА, схемы 35-5Н/10-1; линии 2 ВН/16 линий НН</v>
          </cell>
        </row>
        <row r="390">
          <cell r="B390" t="str">
            <v>ПС 35/10 кВ, 2х10 МВА, схемы 35-5АН/10-1; линии 2 ВН/16 линий НН</v>
          </cell>
        </row>
        <row r="391">
          <cell r="B391" t="str">
            <v>ПС 110/10-6 кВ, 2х40 МВА, схемы 110-5АН/10(6)-1; линии 2 ВН/16 линий НН</v>
          </cell>
        </row>
        <row r="392">
          <cell r="B392" t="str">
            <v>ПС 110/6 кВ, 2х40 МВА, схемы 110-5Н/10-1; линии 2 ВН/22 линии НН</v>
          </cell>
        </row>
        <row r="393">
          <cell r="B393" t="str">
            <v>ПС 110/10 кВ 2х10 МВА, схемы 110-4Н/10-1; линии 2 ВН/16 линий НН</v>
          </cell>
        </row>
        <row r="394">
          <cell r="B394" t="str">
            <v>ПС 110/10 кВ, 2х25 МВА, схемы 110-12/10-1; линии 2 ВН/22 НН</v>
          </cell>
        </row>
        <row r="395">
          <cell r="B395" t="str">
            <v>ПС 110/10 кВ, 2х25 МВА, схемы 110-13/10-1; линии 2 ВН/22 НН</v>
          </cell>
        </row>
        <row r="396">
          <cell r="B396" t="str">
            <v>ПС 110/10 кВ, 2х25 МВА, схемы 110-5Н/10-2; линии 2 ВН/20 НН</v>
          </cell>
        </row>
        <row r="397">
          <cell r="B397" t="str">
            <v>ПС 110/10 кВ, 2х40 МВА, схемы 110-5Н/10-1; линии 2 ВН/36 НН</v>
          </cell>
        </row>
        <row r="398">
          <cell r="B398" t="str">
            <v>ПС 110/35/10 кВ, 2х10 МВА, схемы 110-9/35-9/10-1; линии 2 ВН/4 СН/36 НН</v>
          </cell>
        </row>
        <row r="399">
          <cell r="B399" t="str">
            <v>ПС 110/35/10 кВ, 2х25 МВА, схемы 110-12/35-9/10-1; линии 4 ВН/4 СН/36 НН</v>
          </cell>
        </row>
        <row r="400">
          <cell r="B400" t="str">
            <v>ПС 110/35/10 кВ, 2х25 МВА, схемы 110-13/35-9/10-1; линии 4 ВН/4 СН/36 НН</v>
          </cell>
        </row>
        <row r="401">
          <cell r="B401" t="str">
            <v>ПС 110/35/10 кВ, 2х40 МВА, схемы 110-13/35-9/10-1; линии 4 ВН/4 СН/36 НН</v>
          </cell>
        </row>
        <row r="402">
          <cell r="B402" t="str">
            <v>ПС 220/10 кВ, 2х63 МВА, схемы 220-5Н/10-1; линии 2 ВН/36 НН</v>
          </cell>
        </row>
        <row r="403">
          <cell r="B403" t="str">
            <v>ПС 220/35/10 кВ, 2х25 МВА, схемы 220-5Н/35-9/10-1; линии 2 ВН/4 СН/24 НН</v>
          </cell>
        </row>
        <row r="404">
          <cell r="B404" t="str">
            <v>ПС 220/110/6 кВ, 2х125 МВА, схемы 220-7/110-9/6-1; линии 2 ВН/2 СН/36 НН</v>
          </cell>
        </row>
        <row r="405">
          <cell r="B405" t="str">
            <v>ПС 220/110 кВ, 2х125 МВА, схемы 220-7/110-9; линии 2 ВН/7 СН</v>
          </cell>
        </row>
        <row r="406">
          <cell r="B406" t="str">
            <v>ПС 220/110/10 кВ, 2х250 МВА, схемы 220-16/110-9/10-1; линии 6 ВН/4 СН/36 НН</v>
          </cell>
        </row>
        <row r="409">
          <cell r="B409" t="str">
            <v>ПС 35/10 кВ, 2х6,3 МВА закр., схемы 35-4Н/10-1, линии 2 ВН/16 НН</v>
          </cell>
        </row>
        <row r="410">
          <cell r="B410" t="str">
            <v>ПС 35/10 кВ, 2х16 МВА закр., схемы 35-4Н/10-1; линии 2 ВН/16 НН</v>
          </cell>
        </row>
        <row r="411">
          <cell r="B411" t="str">
            <v>ПС 110/10 кВ, 2х10 МВА закр., схемы 110-5Н/10-1; 2 линии ВН/16 НН</v>
          </cell>
        </row>
        <row r="412">
          <cell r="B412" t="str">
            <v>ПС 110/10 кВ, 2х25 МВА закр., схемы 110-5Н/10-1; линии 2 ВН/32 НН</v>
          </cell>
        </row>
        <row r="413">
          <cell r="B413" t="str">
            <v>ПС 110/10 кВ, 2х40 МВА закр., схемы 110-5Н/10-1; линии 2 ВН/32 НН</v>
          </cell>
        </row>
        <row r="414">
          <cell r="B414" t="str">
            <v>ПС 110/10-6 кВ, 2х40 МВА закр., схемы 110-4Н/10(6)-1; линии 2 ВН/36 НН</v>
          </cell>
        </row>
        <row r="415">
          <cell r="B415" t="str">
            <v>ПС 110/10 кВ, 2х63 МВА закр., схемы 110-5Н/10-1; линии 2 ВН/36 НН</v>
          </cell>
        </row>
        <row r="416">
          <cell r="B416" t="str">
            <v>ПС 110/10 кВ 2х63 МВА, закр. элегаз схемы 110-13/10-3; линии 2 ВН/36 НН</v>
          </cell>
        </row>
        <row r="417">
          <cell r="B417" t="str">
            <v>ПС 220/110/10 2х200 МВА, закр. элегаз схемы 220-7/110-13/10-1; линии 2 ВН/6 СН/48 НН</v>
          </cell>
        </row>
        <row r="418">
          <cell r="B418" t="str">
            <v>ПС 220/110/10 2х200 МВА, закр. элегаз схемы 220-9Н/110-13/10-1; линии 4 ВН/8 СН/48 НН</v>
          </cell>
        </row>
        <row r="433">
          <cell r="B433" t="str">
            <v>ПС 35/10 кВ, схема 35-1 без выключателей</v>
          </cell>
        </row>
        <row r="434">
          <cell r="B434" t="str">
            <v>ПС 35/10 кВ, схемы 35-3АН, 35-4Н, 35-5Н, 35-5АН с выключателями</v>
          </cell>
        </row>
        <row r="435">
          <cell r="B435" t="str">
            <v>ПС 110/6-10 кВ, схема 110-4Н два блока с выкл. и перемычкой</v>
          </cell>
        </row>
        <row r="436">
          <cell r="B436" t="str">
            <v>ПС 110/6-10 кВ, схема 110-13 две рабочие системы шин</v>
          </cell>
        </row>
        <row r="437">
          <cell r="B437" t="str">
            <v>ПС 110/6-10 кВ, схемы 110-5Н, 110-5АН мостик</v>
          </cell>
        </row>
        <row r="438">
          <cell r="B438" t="str">
            <v>ПС 110/35/10 кВ, схема 110-13 две рабочие системы шин</v>
          </cell>
        </row>
        <row r="439">
          <cell r="B439" t="str">
            <v>ПС 220/10 кВ, схемы 220-5Н, 220-5АН мостик</v>
          </cell>
        </row>
        <row r="440">
          <cell r="B440" t="str">
            <v>ПС 220/35/10 кВ, схемы 220-5Н, 220-5АН мостик</v>
          </cell>
        </row>
        <row r="441">
          <cell r="B441" t="str">
            <v>ПС 220/110 кВ, схема 220-7 четырехугольник</v>
          </cell>
        </row>
        <row r="442">
          <cell r="B442" t="str">
            <v>ПС 220/110 кВ, схема 220-13 две рабочие системы шин</v>
          </cell>
        </row>
        <row r="445">
          <cell r="B445" t="str">
            <v>ПС 35/10 кВ закр., схемы 35-3АН, 35-4Н, 35-5Н, 35-5АН с выключателями</v>
          </cell>
        </row>
        <row r="446">
          <cell r="B446" t="str">
            <v>ПС 110/6-10 кВ закр., схема 110-13 две рабочие системы шин</v>
          </cell>
        </row>
        <row r="447">
          <cell r="B447" t="str">
            <v>ПС 110/6-10 кВ закр., схемы 110-5Н, 110-5АН мостик</v>
          </cell>
        </row>
        <row r="448">
          <cell r="B448" t="str">
            <v>ПС 220/10 кВ закр., схемы 220-5Н, 220-5АН мостик</v>
          </cell>
        </row>
        <row r="449">
          <cell r="B449" t="str">
            <v>ПС 220/110 кВ закр., схема 220-7 четырехугольник</v>
          </cell>
        </row>
        <row r="450">
          <cell r="B450" t="str">
            <v>ПС 220/110 кВ закр., схема 220-13 две рабочие системы шин</v>
          </cell>
        </row>
        <row r="453">
          <cell r="B453" t="str">
            <v>Противоаварийная автоматика ПС - до 2 присоед. 220 кВ</v>
          </cell>
        </row>
        <row r="454">
          <cell r="B454" t="str">
            <v>Противоаварийная автоматика ПС - свыше 2 присоед. 220 кВ</v>
          </cell>
        </row>
        <row r="455">
          <cell r="B455" t="str">
            <v>комплекс АСУ ТП  ПС 110 кВ</v>
          </cell>
        </row>
        <row r="456">
          <cell r="B456" t="str">
            <v>комплекс АСУ ТП  ПС 220 кВ</v>
          </cell>
        </row>
        <row r="457">
          <cell r="B457" t="str">
            <v>комплекс АИСКУЭ  ПС 110 кВ</v>
          </cell>
        </row>
        <row r="458">
          <cell r="B458" t="str">
            <v>комплекс АИСКУЭ  ПС 220 кВ</v>
          </cell>
        </row>
        <row r="459">
          <cell r="B459" t="str">
            <v>Система телемеханики  ПС 110 кВ</v>
          </cell>
        </row>
        <row r="460">
          <cell r="B460" t="str">
            <v>Система телемеханики  ПС 220 кВ</v>
          </cell>
        </row>
        <row r="461">
          <cell r="B461" t="str">
            <v>Система пожарно-охранной сигнализации ПС 110 кВ</v>
          </cell>
        </row>
        <row r="462">
          <cell r="B462" t="str">
            <v>Система пожарно-охранной сигнализации ПС 220 кВ</v>
          </cell>
        </row>
        <row r="465">
          <cell r="B465" t="str">
            <v>ОРУ 35 кВ схема 1: блок линия трансформатор с разъединителем</v>
          </cell>
        </row>
        <row r="466">
          <cell r="B466" t="str">
            <v>ОРУ 35 кВ схема 3Н: блок линия-трансформатор с выключателем</v>
          </cell>
        </row>
        <row r="467">
          <cell r="B467" t="str">
            <v>ОРУ 35 кВ схема 4Н: два блока с элегазовым выкл. и перемычкой со стороны линии</v>
          </cell>
        </row>
        <row r="468">
          <cell r="B468" t="str">
            <v>ОРУ 35 кВ схема 5Н, 5 АН: мостик с элег. выключателем в перемычке и в цепях</v>
          </cell>
        </row>
        <row r="469">
          <cell r="B469" t="str">
            <v>ОРУ 110 кВ схема 1: блок линия трансформатор с разъединителем</v>
          </cell>
        </row>
        <row r="470">
          <cell r="B470" t="str">
            <v>ОРУ 110 кВ схема 3Н: блок линия-трансформатор с выключателем</v>
          </cell>
        </row>
        <row r="471">
          <cell r="B471" t="str">
            <v>ОРУ 110 кВ схема 4Н: два блока с элегазовым выкл. и перемычкой со стороны линии</v>
          </cell>
        </row>
        <row r="472">
          <cell r="B472" t="str">
            <v>ОРУ 110 кВ схема 5Н, 5 АН: мостик с элег. выключателем в перемычке и в цепях</v>
          </cell>
        </row>
        <row r="473">
          <cell r="B473" t="str">
            <v>ОРУ 220 кВ схема 1: блок линия трансформатор с разъединителем</v>
          </cell>
        </row>
        <row r="474">
          <cell r="B474" t="str">
            <v>ОРУ 220 кВ схема 3Н: блок линия-трансформатор с выключателем</v>
          </cell>
        </row>
        <row r="475">
          <cell r="B475" t="str">
            <v>ОРУ 220 кВ схема 4Н: два блока с элегазовым выкл. и перемычкой со стороны линии</v>
          </cell>
        </row>
        <row r="476">
          <cell r="B476" t="str">
            <v>ОРУ 220 кВ схема 5Н, 5 АН: мостик с элег. выключателем в перемычке и в цепях</v>
          </cell>
        </row>
        <row r="479">
          <cell r="B479" t="str">
            <v>Выключатель 6-10 кВ масляный 31,5-40 кА</v>
          </cell>
        </row>
        <row r="480">
          <cell r="B480" t="str">
            <v>Выключатель 6-10 кВ вакуумный КРУН 31,5-40 кА</v>
          </cell>
        </row>
        <row r="481">
          <cell r="B481" t="str">
            <v>Выключатель 6-10 кВ элегазовый для ОРУ 31,5-40 кА</v>
          </cell>
        </row>
        <row r="482">
          <cell r="B482" t="str">
            <v>Выключатель 6-10 кВ элегазовый для КРУ 31,5-40 кА</v>
          </cell>
        </row>
        <row r="483">
          <cell r="B483" t="str">
            <v>Выключатель 35 кВ масляный наружной установки 20-25 кА</v>
          </cell>
        </row>
        <row r="484">
          <cell r="B484" t="str">
            <v>Выключатель 35 кВ вакуумный</v>
          </cell>
        </row>
        <row r="485">
          <cell r="B485" t="str">
            <v>Выключатель 35 кВ элегазовый для ОРУ</v>
          </cell>
        </row>
        <row r="486">
          <cell r="B486" t="str">
            <v>Выключатель 35 кВ элегазовый для КРУЭ</v>
          </cell>
        </row>
        <row r="487">
          <cell r="B487" t="str">
            <v>Выключатель 110 кВ воздушный</v>
          </cell>
        </row>
        <row r="488">
          <cell r="B488" t="str">
            <v>Выключатель 110 кВ масляный</v>
          </cell>
        </row>
        <row r="489">
          <cell r="B489" t="str">
            <v>Выключатель 110 кВ вакуумный КРУН</v>
          </cell>
        </row>
        <row r="490">
          <cell r="B490" t="str">
            <v>Выключатель 110 кВ элегазовый для ОРУ</v>
          </cell>
        </row>
        <row r="491">
          <cell r="B491" t="str">
            <v>Выключатель 110 кВ элегазовый для КРУЭ</v>
          </cell>
        </row>
        <row r="492">
          <cell r="B492" t="str">
            <v>Выключатель 110 кВ элегазовый для КРУЭ Siemens</v>
          </cell>
        </row>
        <row r="493">
          <cell r="B493" t="str">
            <v>Выключатель 110 кВ элегазовый для КРУЭ Hyundai</v>
          </cell>
        </row>
        <row r="494">
          <cell r="B494" t="str">
            <v>Выключатель 220 кВ воздушный</v>
          </cell>
        </row>
        <row r="495">
          <cell r="B495" t="str">
            <v>Выключатель 220 кВ масляный</v>
          </cell>
        </row>
        <row r="496">
          <cell r="B496" t="str">
            <v>Выключатель 220 кВ элегазовый для ОРУ</v>
          </cell>
        </row>
        <row r="497">
          <cell r="B497" t="str">
            <v>Выключатель 220 кВ  элегазовый для КРУЭ</v>
          </cell>
        </row>
        <row r="498">
          <cell r="B498" t="str">
            <v>Выключатель 220 кВ  элегазовый для КРУЭ  Siemens</v>
          </cell>
        </row>
        <row r="501">
          <cell r="B501" t="str">
            <v>Трансформатор 35/НН мощностью 2,5 МВА</v>
          </cell>
        </row>
        <row r="502">
          <cell r="B502" t="str">
            <v>Трансформатор 35/НН мощностью 4 МВА</v>
          </cell>
        </row>
        <row r="503">
          <cell r="B503" t="str">
            <v>Трансформатор 35/НН мощностью 6,3 МВА</v>
          </cell>
        </row>
        <row r="504">
          <cell r="B504" t="str">
            <v>Трансформатор 35/НН мощностью 10 МВА</v>
          </cell>
        </row>
        <row r="505">
          <cell r="B505" t="str">
            <v>Трансформатор 35/НН мощностью 16 МВА</v>
          </cell>
        </row>
        <row r="506">
          <cell r="B506" t="str">
            <v>Трансформатор 35/НН мощностью 25 МВА</v>
          </cell>
        </row>
        <row r="507">
          <cell r="B507" t="str">
            <v>Трансформатор 35/НН мощностью 40 МВА</v>
          </cell>
        </row>
        <row r="508">
          <cell r="B508" t="str">
            <v>Трансформатор 110/НН мощностью 6,3 МВА</v>
          </cell>
        </row>
        <row r="509">
          <cell r="B509" t="str">
            <v>Трансформатор 110/НН мощностью 10 МВА</v>
          </cell>
        </row>
        <row r="510">
          <cell r="B510" t="str">
            <v>Трансформатор 110/НН мощностью 16 МВА</v>
          </cell>
        </row>
        <row r="511">
          <cell r="B511" t="str">
            <v>Трансформатор 110/НН мощностью 25 МВА</v>
          </cell>
        </row>
        <row r="512">
          <cell r="B512" t="str">
            <v>Трансформатор 110/НН мощностью 40 МВА</v>
          </cell>
        </row>
        <row r="513">
          <cell r="B513" t="str">
            <v>Трансформатор 110/НН мощностью 63 МВА</v>
          </cell>
        </row>
        <row r="514">
          <cell r="B514" t="str">
            <v>Трансформатор 110/НН мощностью 80 МВА</v>
          </cell>
        </row>
        <row r="515">
          <cell r="B515" t="str">
            <v>Трансформатор 110/НН мощностью 125 МВА</v>
          </cell>
        </row>
        <row r="516">
          <cell r="B516" t="str">
            <v>Трансформатор 110/НН мощностью 220 МВА</v>
          </cell>
        </row>
        <row r="517">
          <cell r="B517" t="str">
            <v>Трансформатор 110/35/НН мощностью 6,3 МВА</v>
          </cell>
        </row>
        <row r="518">
          <cell r="B518" t="str">
            <v>Трансформатор 110/35/НН мощностью 10 МВА</v>
          </cell>
        </row>
        <row r="519">
          <cell r="B519" t="str">
            <v>Трансформатор 110/35/НН мощностью 16 МВА</v>
          </cell>
        </row>
        <row r="520">
          <cell r="B520" t="str">
            <v>Трансформатор 110/35/НН мощностью 25 МВА</v>
          </cell>
        </row>
        <row r="521">
          <cell r="B521" t="str">
            <v>Трансформатор 110/35/НН мощностью 40 МВА</v>
          </cell>
        </row>
        <row r="522">
          <cell r="B522" t="str">
            <v>Трансформатор 110/35/НН мощностью 63 МВА</v>
          </cell>
        </row>
        <row r="523">
          <cell r="B523" t="str">
            <v>Трансформатор 110/35/НН мощностью 80 МВА</v>
          </cell>
        </row>
        <row r="524">
          <cell r="B524" t="str">
            <v>Трансформатор 220/НН мощностью 40 МВА</v>
          </cell>
        </row>
        <row r="525">
          <cell r="B525" t="str">
            <v>Трансформатор 220/НН мощностью 63 МВА</v>
          </cell>
        </row>
        <row r="526">
          <cell r="B526" t="str">
            <v>Трансформатор 220/НН ПБВ мощностью 80 МВА</v>
          </cell>
        </row>
        <row r="527">
          <cell r="B527" t="str">
            <v>Трансформатор 220/НН мощностью 100 МВА</v>
          </cell>
        </row>
        <row r="528">
          <cell r="B528" t="str">
            <v>Трансформатор 220/НН ПБВ мощностью 125 МВА</v>
          </cell>
        </row>
        <row r="529">
          <cell r="B529" t="str">
            <v>Трансформатор 220/НН мощностью 160 МВА</v>
          </cell>
        </row>
        <row r="530">
          <cell r="B530" t="str">
            <v>Трансформатор 220/НН ПБВ мощностью 200 МВА</v>
          </cell>
        </row>
        <row r="531">
          <cell r="B531" t="str">
            <v>Трансформатор 220/35/НН мощностью 25 МВА</v>
          </cell>
        </row>
        <row r="532">
          <cell r="B532" t="str">
            <v>Трансформатор 220/35/НН мощностью 40 МВА</v>
          </cell>
        </row>
        <row r="533">
          <cell r="B533" t="str">
            <v>Автотрансформатор 220/110/НН мощностью 63 МВА</v>
          </cell>
        </row>
        <row r="534">
          <cell r="B534" t="str">
            <v>Автотрансформатор 220/110/НН мощностью 125 МВА</v>
          </cell>
        </row>
        <row r="535">
          <cell r="B535" t="str">
            <v>Автотрансформатор 220/110/НН мощностью 200 МВА</v>
          </cell>
        </row>
        <row r="536">
          <cell r="B536" t="str">
            <v>Автотрансформатор 220/110/НН мощностью 250 МВА</v>
          </cell>
        </row>
        <row r="537">
          <cell r="B537" t="str">
            <v>Лин. рег. тр-р ТДНЛ-10000/10 10 кВ, мощностью 10 МВА</v>
          </cell>
        </row>
        <row r="538">
          <cell r="B538" t="str">
            <v>Лин. рег. тр-р ТМНЛ-16000/10 10 кВ, мощностью 16 МВА</v>
          </cell>
        </row>
        <row r="539">
          <cell r="B539" t="str">
            <v>Лин. рег. тр-р ТДНЛ-40000/10 10 кВ, мощностью 40 МВА</v>
          </cell>
        </row>
        <row r="540">
          <cell r="B540" t="str">
            <v>Лин. рег. тр-р ТДНЛ-63000/10 10 кВ, мощностью 63 МВА</v>
          </cell>
        </row>
        <row r="541">
          <cell r="B541" t="str">
            <v>Лин. рег. тр-р ТДНЛ-63000/35 35 кВ, мощностью 63 МВА</v>
          </cell>
        </row>
        <row r="544">
          <cell r="B544" t="str">
            <v>Синхр. компенсатор КСВБ-50-11 мощностью 50 МВАр</v>
          </cell>
        </row>
        <row r="545">
          <cell r="B545" t="str">
            <v>Синхр. компенсатор КСВБО-50-11 мощностью 50 МВАр</v>
          </cell>
        </row>
        <row r="546">
          <cell r="B546" t="str">
            <v>Синхр. компенсатор КСВБ-100-11 мощностью 100 МВАр</v>
          </cell>
        </row>
        <row r="547">
          <cell r="B547" t="str">
            <v>Синхр. компенсатор КСВБО-100-11 мощностью 100 МВАр</v>
          </cell>
        </row>
        <row r="548">
          <cell r="B548" t="str">
            <v>Асинхр. компенсатор АСК-50 мощностью 50 МВАр</v>
          </cell>
        </row>
        <row r="549">
          <cell r="B549" t="str">
            <v>Асинхр. компенсатор АСК-100 мощностью 100 МВАр</v>
          </cell>
        </row>
        <row r="550">
          <cell r="B550" t="str">
            <v>Статич. тиристорный компенсатор СТК-50</v>
          </cell>
        </row>
        <row r="551">
          <cell r="B551" t="str">
            <v>Статич. тиристорный компенсатор СТК-100</v>
          </cell>
        </row>
        <row r="552">
          <cell r="B552" t="str">
            <v>Два синхр. компенсатора КСВБ-50-11 мощностью 50 МВАр</v>
          </cell>
        </row>
        <row r="553">
          <cell r="B553" t="str">
            <v>Два синхр. компенсатора КСВБО-50-11 мощностью 50 МВАр</v>
          </cell>
        </row>
        <row r="554">
          <cell r="B554" t="str">
            <v>Два синхр. компенсатора КСВБ-100-11 мощностью 100 МВАр</v>
          </cell>
        </row>
        <row r="555">
          <cell r="B555" t="str">
            <v>Два синхр. компенсатора КСВБО-100-11 мощностью 100 МВАр</v>
          </cell>
        </row>
        <row r="556">
          <cell r="B556" t="str">
            <v>Два асинхр. компенсатора АСК-50 мощностью 50 МВАр</v>
          </cell>
        </row>
        <row r="557">
          <cell r="B557" t="str">
            <v>Два асинхр. компенсатора АСК-100 мощностью 100 МВАр</v>
          </cell>
        </row>
        <row r="558">
          <cell r="B558" t="str">
            <v>Два статич. тиристорных компенсатора СТК-50</v>
          </cell>
        </row>
        <row r="559">
          <cell r="B559" t="str">
            <v>Два статич. тиристорных компенсатора СТК-100</v>
          </cell>
        </row>
        <row r="562">
          <cell r="B562" t="str">
            <v>Упр. шунтирующий реактор УШР-110 мощностью 32 МВА</v>
          </cell>
        </row>
        <row r="563">
          <cell r="B563" t="str">
            <v>Упр. шунтирующий реактор УШР-220 мощностью 63 МВА</v>
          </cell>
        </row>
        <row r="564">
          <cell r="B564" t="str">
            <v>Упр. шунтирующий реактор УШР-220 мощностью 100 МВА</v>
          </cell>
        </row>
        <row r="565">
          <cell r="B565" t="str">
            <v>Шунтирующий реактор РТМ 11 кВ мощностью 3,3 МВА, 3 фазы</v>
          </cell>
        </row>
        <row r="566">
          <cell r="B566" t="str">
            <v>Шунтирующий реактор РТД 38,5 кВ мощностью 20 МВА, 3 фазы</v>
          </cell>
        </row>
        <row r="567">
          <cell r="B567" t="str">
            <v>Шунтирующий реактор 3хРОДБС 121 кВ мощностью 3х33,3 МВА, 3 фазы</v>
          </cell>
        </row>
        <row r="568">
          <cell r="B568" t="str">
            <v>Шунтовая конденс. батарея 6 кВ мощность. 1,45 МВАр</v>
          </cell>
        </row>
        <row r="569">
          <cell r="B569" t="str">
            <v>Шунтовая конденс. батарея 6 кВ мощность. 2,9 МВАр регулир.</v>
          </cell>
        </row>
        <row r="570">
          <cell r="B570" t="str">
            <v>Шунтовая конденс. батарея 6 кВ мощность. 4,3 МВАр</v>
          </cell>
        </row>
        <row r="571">
          <cell r="B571" t="str">
            <v>Шунтовая конденс. батарея 6 кВ мощность. 5,8 МВАр регулир.</v>
          </cell>
        </row>
        <row r="572">
          <cell r="B572" t="str">
            <v>Шунтовая конденс. батарея 6 кВ мощность. 7,2 МВАр</v>
          </cell>
        </row>
        <row r="573">
          <cell r="B573" t="str">
            <v>Шунтовая конденс. батарея 10 кВ мощность. 1,2 МВАр</v>
          </cell>
        </row>
        <row r="574">
          <cell r="B574" t="str">
            <v>Шунтовая конденс. батарея 10 кВ мощность. 2,4 МВАр</v>
          </cell>
        </row>
        <row r="575">
          <cell r="B575" t="str">
            <v>Шунтовая конденс. батарея 10 кВ мощность. 3,6 МВАр</v>
          </cell>
        </row>
        <row r="576">
          <cell r="B576" t="str">
            <v>Шунтовая конденс. батарея 10 кВ мощность. 4,8 МВАр регулир.</v>
          </cell>
        </row>
        <row r="577">
          <cell r="B577" t="str">
            <v>Шунтовая конденс. батарея 10 кВ мощность. 6,0 МВАр</v>
          </cell>
        </row>
        <row r="578">
          <cell r="B578" t="str">
            <v>Шунтовая конденс. батарея 10 кВ мощность. 7,2 МВАр</v>
          </cell>
        </row>
        <row r="579">
          <cell r="B579" t="str">
            <v>Шунтовая конденс. батарея 10 кВ мощность. 9,6 МВАр регулир.</v>
          </cell>
        </row>
        <row r="580">
          <cell r="B580" t="str">
            <v>Шунтовая конденс. батарея 10 кВ мощность. 12 МВАр</v>
          </cell>
        </row>
        <row r="581">
          <cell r="B581" t="str">
            <v>Шунтовая конденс. батарея 35 кВ мощность. 9,1 МВАр</v>
          </cell>
        </row>
        <row r="582">
          <cell r="B582" t="str">
            <v>Шунтовая конденс. батарея 35 кВ мощность. 13,6 МВАр</v>
          </cell>
        </row>
        <row r="583">
          <cell r="B583" t="str">
            <v>Шунтовая конденс. батарея 35 кВ мощность. 18,1 МВАр</v>
          </cell>
        </row>
        <row r="584">
          <cell r="B584" t="str">
            <v>Шунтовая конденс. батарея 110 кВ мощность. 27,2 МВАр</v>
          </cell>
        </row>
        <row r="585">
          <cell r="B585" t="str">
            <v>Шунтовая конденс. батарея 110 кВ мощность. 40,8 МВАр</v>
          </cell>
        </row>
        <row r="586">
          <cell r="B586" t="str">
            <v>Шунтовая конденс. батарея 110 кВ мощность. 54 МВАр</v>
          </cell>
        </row>
        <row r="587">
          <cell r="B587" t="str">
            <v>Шунтовая конденс. батарея 110 кВ мощность. 54,4 МВАр регулир.</v>
          </cell>
        </row>
        <row r="588">
          <cell r="B588" t="str">
            <v>Вакуумно-реакторная группа 10 кВ мощностью 7,5 МВАр</v>
          </cell>
        </row>
        <row r="589">
          <cell r="B589" t="str">
            <v>Вакуумно-реакторная группа 10 кВ мощностью 10 МВАр</v>
          </cell>
        </row>
        <row r="590">
          <cell r="B590" t="str">
            <v>Вакуумно-реакторная группа 10 кВ мощностью 20 МВАр</v>
          </cell>
        </row>
        <row r="591">
          <cell r="B591" t="str">
            <v>Вакуумно-реакторная группа 10 кВ мощностью 50 МВАр</v>
          </cell>
        </row>
        <row r="592">
          <cell r="B592" t="str">
            <v>Дугогасящий масл. однофазный реактор РЗДСОМ-380/10 У1</v>
          </cell>
        </row>
        <row r="593">
          <cell r="B593" t="str">
            <v>Дугогасящий масл. однофазный реактор РЗДСОМ-1520/10 У1</v>
          </cell>
        </row>
        <row r="594">
          <cell r="B594" t="str">
            <v>Дугогасящий масл. однофазный реактор РЗДПОМ-190/10 У1</v>
          </cell>
        </row>
        <row r="595">
          <cell r="B595" t="str">
            <v>Дугогасящий масл. однофазный реактор РЗДПОМА-190/10 У1</v>
          </cell>
        </row>
        <row r="596">
          <cell r="B596" t="str">
            <v>Дугогасящий масл. однофазный реактор РУОМ-300/6 УХЛ1</v>
          </cell>
        </row>
        <row r="597">
          <cell r="B597" t="str">
            <v>Дугогасящий масл. однофазный реактор РЗДПОМ-480/10 У1</v>
          </cell>
        </row>
        <row r="598">
          <cell r="B598" t="str">
            <v>Дугогасящий масл. однофазный реактор РУОМ-480/10 УХЛ1</v>
          </cell>
        </row>
        <row r="599">
          <cell r="B599" t="str">
            <v>Дугогасящий масл. однофазный реактор РЗДПОМ-480/20 У1</v>
          </cell>
        </row>
        <row r="600">
          <cell r="B600" t="str">
            <v>Дугогасящий масл. однофазный реактор РЗДПОМ-480/35 У1</v>
          </cell>
        </row>
        <row r="601">
          <cell r="B601" t="str">
            <v>Одинарный сух.токоогр.реактор РТОС 10-1600-0,25 У3 внутр. установки</v>
          </cell>
        </row>
        <row r="602">
          <cell r="B602" t="str">
            <v>Одинарный сух.токоогр.реактор РТОС 10-1600-0,35 У3 внутр. установки</v>
          </cell>
        </row>
        <row r="603">
          <cell r="B603" t="str">
            <v>Одинарный сух.токоогр.реактор РТОС 10-2500-0,35 У3 внутр. установки</v>
          </cell>
        </row>
        <row r="604">
          <cell r="B604" t="str">
            <v>Одинарный сух.токоогр.реактор РТОС 10-4000-0,25 У3 внутр. установки</v>
          </cell>
        </row>
        <row r="605">
          <cell r="B605" t="str">
            <v>Трехфазный сухой токоогр. реактор РТСТ 10-1000-01,4 У3 внутр. установки</v>
          </cell>
        </row>
        <row r="606">
          <cell r="B606" t="str">
            <v>Трехфазный сухой токоогр. реактор РТСТ 10-1000-0,35 У3 внутр. установки</v>
          </cell>
        </row>
        <row r="607">
          <cell r="B607" t="str">
            <v>Трехфазный сухой токоогр. реактор РТСТ 10-1000-0,56 У3 внутр. Установки</v>
          </cell>
        </row>
        <row r="608">
          <cell r="B608" t="str">
            <v>Трехфазный сухой токоогр. реактор РТСТ 10-1600-0,35 У3 внутр. установки</v>
          </cell>
        </row>
        <row r="609">
          <cell r="B609" t="str">
            <v>Трехфазный сухой токоогр. реактор РТСТ 10-5000-0,0,1 УХЛ1 3 внутр. установки</v>
          </cell>
        </row>
        <row r="612">
          <cell r="B612" t="str">
            <v>Демонтаж трансформатора 35 кВ 10-40 МВА, с консервацией</v>
          </cell>
        </row>
        <row r="613">
          <cell r="B613" t="str">
            <v>Демонтаж трансформатора 35 кВ 10-40 МВА, с использованием</v>
          </cell>
        </row>
        <row r="614">
          <cell r="B614" t="str">
            <v>Демонтаж трансформатора 35 кВ 10-40 МВА, в лом с разборкой</v>
          </cell>
        </row>
        <row r="615">
          <cell r="B615" t="str">
            <v>Демонтаж трансформатора 35 кВ 10-40 МВА, в лом без разборки</v>
          </cell>
        </row>
        <row r="616">
          <cell r="B616" t="str">
            <v>Демонтаж трансформатора 110 кВ 2,5-6,3 МВА, с консервацией</v>
          </cell>
        </row>
        <row r="617">
          <cell r="B617" t="str">
            <v>Демонтаж трансформатора 110 кВ 2,5-6,3 МВА, с использованием</v>
          </cell>
        </row>
        <row r="618">
          <cell r="B618" t="str">
            <v>Демонтаж трансформатора 110 кВ 2,5-6,3 МВА, в лом с разборкой</v>
          </cell>
        </row>
        <row r="619">
          <cell r="B619" t="str">
            <v>Демонтаж трансформатора 110 кВ 2,5-6,3 МВА, в лом без разборки</v>
          </cell>
        </row>
        <row r="620">
          <cell r="B620" t="str">
            <v>Демонтаж трансформатора 110 кВ 25-80 МВА, с консервацией</v>
          </cell>
        </row>
        <row r="621">
          <cell r="B621" t="str">
            <v>Демонтаж трансформатора 110 кВ 25-80 МВА, с использованием</v>
          </cell>
        </row>
        <row r="622">
          <cell r="B622" t="str">
            <v>Демонтаж трансформатора 110 кВ 25-80 МВА, в лом с разборкой</v>
          </cell>
        </row>
        <row r="623">
          <cell r="B623" t="str">
            <v>Демонтаж трансформатора 110 кВ 25-80 МВА, в лом без разборки</v>
          </cell>
        </row>
        <row r="624">
          <cell r="B624" t="str">
            <v>Демонтаж трансформатора 220 кВ 25-160 МВА, с консервацией</v>
          </cell>
        </row>
        <row r="625">
          <cell r="B625" t="str">
            <v>Демонтаж трансформатора 220 кВ 25-160 МВА, с использованием</v>
          </cell>
        </row>
        <row r="626">
          <cell r="B626" t="str">
            <v>Демонтаж трансформатора 220 кВ 25-160 МВА, в лом с разборкой</v>
          </cell>
        </row>
        <row r="627">
          <cell r="B627" t="str">
            <v>Демонтаж трансформатора 220 кВ 25-160 МВА, в лом без разборки</v>
          </cell>
        </row>
        <row r="628">
          <cell r="B628" t="str">
            <v>Демонтаж трансформатора 220 кВ 200-250 МВА, с консервацией</v>
          </cell>
        </row>
        <row r="629">
          <cell r="B629" t="str">
            <v>Демонтаж трансформатора 220 кВ 200-250 МВА, с использованием</v>
          </cell>
        </row>
        <row r="630">
          <cell r="B630" t="str">
            <v>Демонтаж трансформатора 220 кВ 200-250 МВА, в лом с разборкой</v>
          </cell>
        </row>
        <row r="631">
          <cell r="B631" t="str">
            <v>Демонтаж трансформатора 220 кВ 200-250 МВА, в лом без разборки</v>
          </cell>
        </row>
        <row r="632">
          <cell r="B632" t="str">
            <v>Демонтаж масляного выключателя 35 кВ, с консервацией</v>
          </cell>
        </row>
        <row r="633">
          <cell r="B633" t="str">
            <v>Демонтаж масляного выключателя 35 кВ, с использованием</v>
          </cell>
        </row>
        <row r="634">
          <cell r="B634" t="str">
            <v>Демонтаж масляного выключателя 35 кВ, в лом с разборкой</v>
          </cell>
        </row>
        <row r="635">
          <cell r="B635" t="str">
            <v>Демонтаж масляного выключателя 35 кВ, в лом без разборки</v>
          </cell>
        </row>
        <row r="636">
          <cell r="B636" t="str">
            <v>Демонтаж масляного выключателя 110 кВ, с консервацией</v>
          </cell>
        </row>
        <row r="637">
          <cell r="B637" t="str">
            <v>Демонтаж масляного выключателя 110 кВ, с использованием</v>
          </cell>
        </row>
        <row r="638">
          <cell r="B638" t="str">
            <v>Демонтаж масляного выключателя 110 кВ, в лом с разборкой</v>
          </cell>
        </row>
        <row r="639">
          <cell r="B639" t="str">
            <v>Демонтаж масляного выключателя 110 кВ, в лом без разборки</v>
          </cell>
        </row>
        <row r="640">
          <cell r="B640" t="str">
            <v>Демонтаж масляного выключателя 220 кВ, с консервацией</v>
          </cell>
        </row>
        <row r="641">
          <cell r="B641" t="str">
            <v>Демонтаж масляного выключателя 220 кВ, с использованием</v>
          </cell>
        </row>
        <row r="642">
          <cell r="B642" t="str">
            <v>Демонтаж масляного выключателя 220 кВ, в лом с разборкой</v>
          </cell>
        </row>
        <row r="643">
          <cell r="B643" t="str">
            <v>Демонтаж масляного выключателя 220 кВ, в лом без разборки</v>
          </cell>
        </row>
        <row r="644">
          <cell r="B644" t="str">
            <v>Демонтаж воздушного выключателя 220 кВ, с консервацией</v>
          </cell>
        </row>
        <row r="645">
          <cell r="B645" t="str">
            <v>Демонтаж воздушного выключателя 220 кВ, с использованием</v>
          </cell>
        </row>
        <row r="646">
          <cell r="B646" t="str">
            <v>Демонтаж воздушного выключателя 220 кВ, в лом с разборкой</v>
          </cell>
        </row>
        <row r="647">
          <cell r="B647" t="str">
            <v>Демонтаж воздушного выключателя 220 кВ, в лом без разборки</v>
          </cell>
        </row>
        <row r="648">
          <cell r="B648" t="str">
            <v>Демонтаж разъединителя 35 кВ, с консервацией</v>
          </cell>
        </row>
        <row r="649">
          <cell r="B649" t="str">
            <v>Демонтаж разъединителя 35 кВ, с использованием</v>
          </cell>
        </row>
        <row r="650">
          <cell r="B650" t="str">
            <v>Демонтаж разъединителя 35 кВ, в лом с разборкой</v>
          </cell>
        </row>
        <row r="651">
          <cell r="B651" t="str">
            <v>Демонтаж разъединителя 35 кВ, в лом без разборки</v>
          </cell>
        </row>
        <row r="652">
          <cell r="B652" t="str">
            <v>Демонтаж разъединителя 110 кВ, с консервацией</v>
          </cell>
        </row>
        <row r="653">
          <cell r="B653" t="str">
            <v>Демонтаж разъединителя 110 кВ, с использованием</v>
          </cell>
        </row>
        <row r="654">
          <cell r="B654" t="str">
            <v>Демонтаж разъединителя 110 кВ, в лом с разборкой</v>
          </cell>
        </row>
        <row r="655">
          <cell r="B655" t="str">
            <v>Демонтаж разъединителя 110 кВ, в лом без разборки</v>
          </cell>
        </row>
        <row r="656">
          <cell r="B656" t="str">
            <v>Демонтаж разъединителя 220 кВ, с консервацией</v>
          </cell>
        </row>
        <row r="657">
          <cell r="B657" t="str">
            <v>Демонтаж разъединителя 220 кВ, с использованием</v>
          </cell>
        </row>
        <row r="658">
          <cell r="B658" t="str">
            <v>Демонтаж разъединителя 220 кВ, в лом с разборкой</v>
          </cell>
        </row>
        <row r="659">
          <cell r="B659" t="str">
            <v>Демонтаж разъединителя 220 кВ, в лом без разборки</v>
          </cell>
        </row>
        <row r="660">
          <cell r="B660" t="str">
            <v>Демонтаж стальных опор под оборудование, с консервацией</v>
          </cell>
        </row>
        <row r="661">
          <cell r="B661" t="str">
            <v>Демонтаж стальных опор под оборудование, с использованием</v>
          </cell>
        </row>
        <row r="662">
          <cell r="B662" t="str">
            <v>Демонтаж стальных опор под оборудование, в лом с разборкой</v>
          </cell>
        </row>
        <row r="663">
          <cell r="B663" t="str">
            <v>Демонтаж стальных опор под оборудование, в лом без разборки</v>
          </cell>
        </row>
        <row r="666">
          <cell r="B666" t="str">
            <v>Мачтовые подстанции мощностью 25-250 кВА</v>
          </cell>
        </row>
        <row r="667">
          <cell r="B667" t="str">
            <v>КТП с тр-ром мощностью 25-630 кВА</v>
          </cell>
        </row>
        <row r="668">
          <cell r="B668" t="str">
            <v>КТП с двумя тр-рами мощностью 160-630 кВА</v>
          </cell>
        </row>
        <row r="669">
          <cell r="B669" t="str">
            <v>БКТП закрытого типа с двумя тр-рами мощностью 160-630 кВА</v>
          </cell>
        </row>
        <row r="670">
          <cell r="B670" t="str">
            <v>Распределительные пункты наружной установки</v>
          </cell>
        </row>
        <row r="671">
          <cell r="B671" t="str">
            <v>Распределительные пункты закрытого типа</v>
          </cell>
        </row>
        <row r="672">
          <cell r="B672" t="str">
            <v>Секционирующие пункты</v>
          </cell>
        </row>
        <row r="675">
          <cell r="B675" t="str">
            <v>ПС 35/6-10 кВ схема 35-4 блок линия-трансформатор</v>
          </cell>
        </row>
        <row r="676">
          <cell r="B676" t="str">
            <v>ПС 35/6-10 кВ схема 35-5 мостик с тремя выключателями</v>
          </cell>
        </row>
        <row r="677">
          <cell r="B677" t="str">
            <v>ПС 35/6-10 кВ сборные шины с 8 ячейками ВН</v>
          </cell>
        </row>
        <row r="678">
          <cell r="B678" t="str">
            <v>ПС 110/6-10 кВ схема 110-4 блок линия трансформатор</v>
          </cell>
        </row>
        <row r="679">
          <cell r="B679" t="str">
            <v>ПС 110/6-10 кВ схема 110-5 мостик с тремя выключателями</v>
          </cell>
        </row>
        <row r="680">
          <cell r="B680" t="str">
            <v>ПС 110/6-10 кВ сборные шины с 8 ячейками ВН</v>
          </cell>
        </row>
        <row r="681">
          <cell r="B681" t="str">
            <v>ПС 110/35/6-10 кВ схема 110-4 с 5 ячейками 35 кВ</v>
          </cell>
        </row>
        <row r="682">
          <cell r="B682" t="str">
            <v>ПС 110/35/6-10 кВ схема 110-5 мостик с 9 ячейками 35 кВ</v>
          </cell>
        </row>
        <row r="683">
          <cell r="B683" t="str">
            <v>ПС 110/35/6-10 кВ сборные шины с 9 ячейками 110 кВ и 9 ячейками 35 кВ</v>
          </cell>
        </row>
        <row r="684">
          <cell r="B684" t="str">
            <v>ПС 220/6-10 кВ схема 220-4 блок линия-трансформатор</v>
          </cell>
        </row>
        <row r="685">
          <cell r="B685" t="str">
            <v>ПС 220/6-10 кВ схема 220-5 мостик</v>
          </cell>
        </row>
        <row r="686">
          <cell r="B686" t="str">
            <v>ПС 220/6-10 кВ схема 220-7 четырехугольник</v>
          </cell>
        </row>
        <row r="687">
          <cell r="B687" t="str">
            <v>ПС 220/6-10 кВ сборные шины с 9 ячейками 220 кВ</v>
          </cell>
        </row>
        <row r="688">
          <cell r="B688" t="str">
            <v>ПС 220/35/6-10 кВ схема 220-4 блок с 10 ячейками 35 кВ</v>
          </cell>
        </row>
        <row r="689">
          <cell r="B689" t="str">
            <v>ПС 220/110/6-10 кВ схема 220-4 блок с 6 ячейками 110 кВ</v>
          </cell>
        </row>
        <row r="690">
          <cell r="B690" t="str">
            <v>ПС 220/110/6-10 кВ схема 220-5 мостик с 12 ячейками 110 кВ</v>
          </cell>
        </row>
        <row r="691">
          <cell r="B691" t="str">
            <v>ПС 220/110/6-10 кВ сборные шины с 9 ячейками 220 кВ и 8 ячейками 110 кВ</v>
          </cell>
        </row>
        <row r="692">
          <cell r="B692" t="str">
            <v>ПС 220/110/35/10 кВ сборные шины с 9х220 кв, 9Х110 кВ, 10х35 кВ, 4 тр-ра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  <row r="700">
          <cell r="B700" t="str">
            <v>Закрытая</v>
          </cell>
        </row>
        <row r="701">
          <cell r="B701" t="str">
            <v>Открытая</v>
          </cell>
        </row>
        <row r="715">
          <cell r="B715" t="str">
            <v>Постоянный отвод земель под КЛ 0,4 кВ и ниже</v>
          </cell>
        </row>
        <row r="716">
          <cell r="B716" t="str">
            <v xml:space="preserve">Постоянный отвод земель под КЛ выше 0,4 кВ и до 10 кВ </v>
          </cell>
        </row>
        <row r="717">
          <cell r="B717" t="str">
            <v>Постоянный отвод земель под КЛ 35 кВ</v>
          </cell>
        </row>
        <row r="718">
          <cell r="B718" t="str">
            <v>Постоянный отвод земель под КЛ 110 кВ и выше</v>
          </cell>
        </row>
      </sheetData>
      <sheetData sheetId="5">
        <row r="5">
          <cell r="HN5" t="str">
            <v>I</v>
          </cell>
          <cell r="HO5" t="str">
            <v>II</v>
          </cell>
          <cell r="HP5" t="str">
            <v>III</v>
          </cell>
          <cell r="HQ5" t="str">
            <v>IV</v>
          </cell>
          <cell r="HR5" t="str">
            <v>V</v>
          </cell>
          <cell r="HS5" t="str">
            <v>VI</v>
          </cell>
          <cell r="HT5" t="str">
            <v>VII</v>
          </cell>
          <cell r="HU5" t="str">
            <v>VIII</v>
          </cell>
          <cell r="HV5" t="str">
            <v>IX</v>
          </cell>
          <cell r="HW5" t="str">
            <v>X</v>
          </cell>
          <cell r="HX5" t="str">
            <v>XI</v>
          </cell>
          <cell r="HY5" t="str">
            <v>XII</v>
          </cell>
          <cell r="HZ5" t="str">
            <v>XIII</v>
          </cell>
          <cell r="IA5" t="str">
            <v>XIV</v>
          </cell>
          <cell r="IB5" t="str">
            <v>XV</v>
          </cell>
          <cell r="IC5" t="str">
            <v>XVI</v>
          </cell>
          <cell r="ID5" t="str">
            <v>XVII</v>
          </cell>
          <cell r="IE5" t="str">
            <v>XVIII</v>
          </cell>
          <cell r="IF5" t="str">
            <v>XIX</v>
          </cell>
          <cell r="IG5" t="str">
            <v>XX</v>
          </cell>
          <cell r="IH5" t="str">
            <v>XXI</v>
          </cell>
          <cell r="II5" t="str">
            <v>XXII</v>
          </cell>
          <cell r="IJ5" t="str">
            <v>XXIII</v>
          </cell>
          <cell r="IK5" t="str">
            <v>XXIV</v>
          </cell>
          <cell r="IL5" t="str">
            <v>XXV</v>
          </cell>
          <cell r="IM5" t="str">
            <v>XXVI</v>
          </cell>
          <cell r="IN5" t="str">
            <v>XXVII</v>
          </cell>
          <cell r="IO5" t="str">
            <v>XXVIII</v>
          </cell>
          <cell r="IP5" t="str">
            <v>XXIX</v>
          </cell>
          <cell r="IQ5" t="str">
            <v>XXX</v>
          </cell>
        </row>
        <row r="6">
          <cell r="B6" t="str">
            <v>Белгородская область</v>
          </cell>
          <cell r="HL6">
            <v>1</v>
          </cell>
        </row>
        <row r="7">
          <cell r="B7" t="str">
            <v>Брянская область</v>
          </cell>
          <cell r="HL7">
            <v>2</v>
          </cell>
        </row>
        <row r="8">
          <cell r="B8" t="str">
            <v>Владимирская область</v>
          </cell>
          <cell r="HL8">
            <v>3</v>
          </cell>
        </row>
        <row r="9">
          <cell r="B9" t="str">
            <v>Воронежская область</v>
          </cell>
        </row>
        <row r="10">
          <cell r="B10" t="str">
            <v>Ивановская область</v>
          </cell>
        </row>
        <row r="11">
          <cell r="B11" t="str">
            <v>Калужская область</v>
          </cell>
        </row>
        <row r="12">
          <cell r="B12" t="str">
            <v>Костромская область</v>
          </cell>
        </row>
        <row r="13">
          <cell r="B13" t="str">
            <v>Курская область</v>
          </cell>
        </row>
        <row r="14">
          <cell r="B14" t="str">
            <v>Липецкая область</v>
          </cell>
        </row>
        <row r="15">
          <cell r="B15" t="str">
            <v>Московская область</v>
          </cell>
        </row>
        <row r="16">
          <cell r="B16" t="str">
            <v>Орловская область</v>
          </cell>
        </row>
        <row r="17">
          <cell r="B17" t="str">
            <v>Рязанская область</v>
          </cell>
        </row>
        <row r="18">
          <cell r="B18" t="str">
            <v>Смоленская область</v>
          </cell>
        </row>
        <row r="19">
          <cell r="B19" t="str">
            <v>Тамбовская область</v>
          </cell>
        </row>
        <row r="20">
          <cell r="B20" t="str">
            <v>Тверская область</v>
          </cell>
        </row>
        <row r="21">
          <cell r="B21" t="str">
            <v>Тульская область</v>
          </cell>
        </row>
        <row r="22">
          <cell r="B22" t="str">
            <v>Ярославская область</v>
          </cell>
        </row>
        <row r="23">
          <cell r="B23" t="str">
            <v>г. Москва</v>
          </cell>
        </row>
        <row r="24">
          <cell r="B24" t="str">
            <v>Республика Карелия</v>
          </cell>
        </row>
        <row r="25">
          <cell r="B25" t="str">
            <v>Республика Коми</v>
          </cell>
        </row>
        <row r="26">
          <cell r="B26" t="str">
            <v>Архангельская область</v>
          </cell>
        </row>
        <row r="27">
          <cell r="B27" t="str">
            <v>Ненецкий национальный округ</v>
          </cell>
        </row>
        <row r="28">
          <cell r="B28" t="str">
            <v>Вологодская область</v>
          </cell>
        </row>
        <row r="29">
          <cell r="B29" t="str">
            <v>Калининградская область</v>
          </cell>
        </row>
        <row r="30">
          <cell r="B30" t="str">
            <v>Ленинградская область</v>
          </cell>
        </row>
        <row r="31">
          <cell r="B31" t="str">
            <v>Мурманская область</v>
          </cell>
        </row>
        <row r="32">
          <cell r="B32" t="str">
            <v>Новгородская область</v>
          </cell>
        </row>
        <row r="33">
          <cell r="B33" t="str">
            <v>Псковская область</v>
          </cell>
        </row>
        <row r="34">
          <cell r="B34" t="str">
            <v>г. Санкт-Петербург</v>
          </cell>
        </row>
        <row r="35">
          <cell r="B35" t="str">
            <v>Республика Адыгея</v>
          </cell>
        </row>
        <row r="36">
          <cell r="B36" t="str">
            <v>Астраханская область</v>
          </cell>
        </row>
        <row r="37">
          <cell r="B37" t="str">
            <v>Волгоградская область</v>
          </cell>
        </row>
        <row r="38">
          <cell r="B38" t="str">
            <v>Республика Калмыкия</v>
          </cell>
        </row>
        <row r="39">
          <cell r="B39" t="str">
            <v>Краснодарский край</v>
          </cell>
        </row>
        <row r="40">
          <cell r="B40" t="str">
            <v>Ростовская область</v>
          </cell>
        </row>
        <row r="41">
          <cell r="B41" t="str">
            <v>Республика Дагестан</v>
          </cell>
        </row>
        <row r="42">
          <cell r="B42" t="str">
            <v>Республика Ингушетия</v>
          </cell>
        </row>
        <row r="43">
          <cell r="B43" t="str">
            <v>Кабардино-Балкарская Республика</v>
          </cell>
        </row>
        <row r="44">
          <cell r="B44" t="str">
            <v>Карачаево-Черкесская Республика</v>
          </cell>
        </row>
        <row r="45">
          <cell r="B45" t="str">
            <v>Республика Северная Осетия-Алания</v>
          </cell>
        </row>
        <row r="46">
          <cell r="B46" t="str">
            <v>Чеченская Республика</v>
          </cell>
        </row>
        <row r="47">
          <cell r="B47" t="str">
            <v>Ставропольский край</v>
          </cell>
        </row>
        <row r="48">
          <cell r="B48" t="str">
            <v>Республика Башкортостан</v>
          </cell>
        </row>
        <row r="49">
          <cell r="B49" t="str">
            <v>Республика Марий Эл</v>
          </cell>
        </row>
        <row r="50">
          <cell r="B50" t="str">
            <v>Республика Мордовия</v>
          </cell>
        </row>
        <row r="51">
          <cell r="B51" t="str">
            <v>Республика Татарстан</v>
          </cell>
        </row>
        <row r="52">
          <cell r="B52" t="str">
            <v>Удмуртская Республика</v>
          </cell>
        </row>
        <row r="53">
          <cell r="B53" t="str">
            <v>Чувашская Республика</v>
          </cell>
        </row>
        <row r="54">
          <cell r="B54" t="str">
            <v>Кировская область</v>
          </cell>
        </row>
        <row r="55">
          <cell r="B55" t="str">
            <v>Нижегородская область</v>
          </cell>
        </row>
        <row r="56">
          <cell r="B56" t="str">
            <v>Оренбургская область</v>
          </cell>
        </row>
        <row r="57">
          <cell r="B57" t="str">
            <v>Пензенская область</v>
          </cell>
        </row>
        <row r="58">
          <cell r="B58" t="str">
            <v>Пермский край</v>
          </cell>
        </row>
        <row r="59">
          <cell r="B59" t="str">
            <v>Самарская область</v>
          </cell>
        </row>
        <row r="60">
          <cell r="B60" t="str">
            <v>Саратовская область</v>
          </cell>
        </row>
        <row r="61">
          <cell r="B61" t="str">
            <v>Ульяновская область</v>
          </cell>
        </row>
        <row r="62">
          <cell r="B62" t="str">
            <v>Курганская область</v>
          </cell>
        </row>
        <row r="63">
          <cell r="B63" t="str">
            <v>Свердловская область</v>
          </cell>
        </row>
        <row r="64">
          <cell r="B64" t="str">
            <v>Тюменская область</v>
          </cell>
        </row>
        <row r="65">
          <cell r="B65" t="str">
            <v>Челябинская область</v>
          </cell>
        </row>
        <row r="66">
          <cell r="B66" t="str">
            <v>Ханты-Мансийский а.о.(Югра)</v>
          </cell>
        </row>
        <row r="67">
          <cell r="B67" t="str">
            <v>Ямало-Ненецкий а. о.</v>
          </cell>
        </row>
        <row r="68">
          <cell r="B68" t="str">
            <v>Республика Алтай</v>
          </cell>
        </row>
        <row r="69">
          <cell r="B69" t="str">
            <v>Республика Бурятия</v>
          </cell>
        </row>
        <row r="70">
          <cell r="B70" t="str">
            <v>Республика Тыва</v>
          </cell>
        </row>
        <row r="71">
          <cell r="B71" t="str">
            <v>Республика Хакасия</v>
          </cell>
        </row>
        <row r="72">
          <cell r="B72" t="str">
            <v>Алтайский край</v>
          </cell>
        </row>
        <row r="73">
          <cell r="B73" t="str">
            <v>Красноярский край</v>
          </cell>
        </row>
        <row r="74">
          <cell r="B74" t="str">
            <v>Иркутская область</v>
          </cell>
        </row>
        <row r="75">
          <cell r="B75" t="str">
            <v>Кемеровская область</v>
          </cell>
        </row>
        <row r="76">
          <cell r="B76" t="str">
            <v>Новосибирская область</v>
          </cell>
        </row>
        <row r="77">
          <cell r="B77" t="str">
            <v>Омская область</v>
          </cell>
        </row>
        <row r="78">
          <cell r="B78" t="str">
            <v>Томская область</v>
          </cell>
        </row>
        <row r="79">
          <cell r="B79" t="str">
            <v>Забайкальский край</v>
          </cell>
        </row>
        <row r="80">
          <cell r="B80" t="str">
            <v>Республика Саха (Якутия)</v>
          </cell>
        </row>
        <row r="81">
          <cell r="B81" t="str">
            <v>Приморский край</v>
          </cell>
        </row>
        <row r="82">
          <cell r="B82" t="str">
            <v>Хабаровский край</v>
          </cell>
        </row>
        <row r="83">
          <cell r="B83" t="str">
            <v>Амурская область</v>
          </cell>
        </row>
        <row r="84">
          <cell r="B84" t="str">
            <v>Камчатский край</v>
          </cell>
        </row>
        <row r="85">
          <cell r="B85" t="str">
            <v>Магаданская область</v>
          </cell>
        </row>
        <row r="86">
          <cell r="B86" t="str">
            <v>Сахалинская область</v>
          </cell>
        </row>
        <row r="87">
          <cell r="B87" t="str">
            <v>Еврейская а.о.</v>
          </cell>
        </row>
        <row r="88">
          <cell r="B88" t="str">
            <v>Чукотский а. о.</v>
          </cell>
        </row>
        <row r="89">
          <cell r="B89" t="str">
            <v>Республика Крым</v>
          </cell>
        </row>
        <row r="90">
          <cell r="B90" t="str">
            <v>Севастополь</v>
          </cell>
        </row>
        <row r="99">
          <cell r="B99" t="str">
            <v>I кв. 2000 г.</v>
          </cell>
          <cell r="C99" t="str">
            <v>базисные цены</v>
          </cell>
          <cell r="E99">
            <v>1</v>
          </cell>
          <cell r="F99">
            <v>1</v>
          </cell>
          <cell r="G99">
            <v>1.0760000000000001</v>
          </cell>
          <cell r="I99">
            <v>1</v>
          </cell>
          <cell r="J99">
            <v>1</v>
          </cell>
          <cell r="K99">
            <v>1.052</v>
          </cell>
          <cell r="M99">
            <v>1</v>
          </cell>
          <cell r="N99">
            <v>0.84</v>
          </cell>
          <cell r="O99">
            <v>0.79</v>
          </cell>
        </row>
        <row r="100">
          <cell r="B100" t="str">
            <v>II кв. 2000 г.</v>
          </cell>
          <cell r="C100" t="str">
            <v>инерполяция</v>
          </cell>
          <cell r="E100">
            <v>1.0549999999999999</v>
          </cell>
          <cell r="F100">
            <v>1.0549999999999999</v>
          </cell>
          <cell r="G100">
            <v>1.121</v>
          </cell>
          <cell r="I100">
            <v>1.1200000000000001</v>
          </cell>
          <cell r="J100">
            <v>1.1200000000000001</v>
          </cell>
          <cell r="K100">
            <v>1.121</v>
          </cell>
          <cell r="M100">
            <v>1</v>
          </cell>
          <cell r="N100">
            <v>0.88</v>
          </cell>
          <cell r="O100">
            <v>0.84299999999999997</v>
          </cell>
        </row>
        <row r="101">
          <cell r="B101" t="str">
            <v>III кв. 2000 г.</v>
          </cell>
          <cell r="C101" t="str">
            <v>инерполяция</v>
          </cell>
          <cell r="E101">
            <v>1.111</v>
          </cell>
          <cell r="F101">
            <v>1.111</v>
          </cell>
          <cell r="G101">
            <v>1.165</v>
          </cell>
          <cell r="I101">
            <v>1.2400000000000002</v>
          </cell>
          <cell r="J101">
            <v>1.2400000000000002</v>
          </cell>
          <cell r="K101">
            <v>1.2190000000000001</v>
          </cell>
          <cell r="M101">
            <v>1</v>
          </cell>
          <cell r="N101">
            <v>0.92</v>
          </cell>
          <cell r="O101">
            <v>0.89600000000000002</v>
          </cell>
        </row>
        <row r="102">
          <cell r="B102" t="str">
            <v>IV кв. 2000 г.</v>
          </cell>
          <cell r="C102" t="str">
            <v>инерполяция</v>
          </cell>
          <cell r="E102">
            <v>1.1659999999999999</v>
          </cell>
          <cell r="F102">
            <v>1.1659999999999999</v>
          </cell>
          <cell r="G102">
            <v>1.1970000000000001</v>
          </cell>
          <cell r="I102">
            <v>1.3600000000000003</v>
          </cell>
          <cell r="J102">
            <v>1.3600000000000003</v>
          </cell>
          <cell r="K102">
            <v>1.353</v>
          </cell>
          <cell r="M102">
            <v>1</v>
          </cell>
          <cell r="N102">
            <v>0.96000000000000008</v>
          </cell>
          <cell r="O102">
            <v>0.94899999999999995</v>
          </cell>
        </row>
        <row r="103">
          <cell r="B103" t="str">
            <v>I кв. 2001 г.</v>
          </cell>
          <cell r="C103" t="str">
            <v>инерполяция</v>
          </cell>
          <cell r="E103">
            <v>1.222</v>
          </cell>
          <cell r="F103">
            <v>1.222</v>
          </cell>
          <cell r="G103">
            <v>1.252</v>
          </cell>
          <cell r="I103">
            <v>1.4800000000000004</v>
          </cell>
          <cell r="J103">
            <v>1.4800000000000004</v>
          </cell>
          <cell r="K103">
            <v>1.4630000000000001</v>
          </cell>
          <cell r="M103">
            <v>1</v>
          </cell>
          <cell r="N103">
            <v>1</v>
          </cell>
          <cell r="O103">
            <v>1</v>
          </cell>
        </row>
        <row r="104">
          <cell r="B104" t="str">
            <v>II кв. 2001 г.</v>
          </cell>
          <cell r="C104" t="str">
            <v>инерполяция</v>
          </cell>
          <cell r="E104">
            <v>1.2769999999999999</v>
          </cell>
          <cell r="F104">
            <v>1.2769999999999999</v>
          </cell>
          <cell r="G104">
            <v>1.2929999999999999</v>
          </cell>
          <cell r="I104">
            <v>1.6000000000000005</v>
          </cell>
          <cell r="J104">
            <v>1.6000000000000005</v>
          </cell>
          <cell r="K104">
            <v>1.504</v>
          </cell>
          <cell r="M104">
            <v>1</v>
          </cell>
          <cell r="N104">
            <v>1.046</v>
          </cell>
          <cell r="O104">
            <v>1.0469999999999999</v>
          </cell>
        </row>
        <row r="105">
          <cell r="B105" t="str">
            <v>III кв. 2001 г.</v>
          </cell>
          <cell r="C105" t="str">
            <v>инерполяция</v>
          </cell>
          <cell r="E105">
            <v>1.333</v>
          </cell>
          <cell r="F105">
            <v>1.333</v>
          </cell>
          <cell r="G105">
            <v>1.325</v>
          </cell>
          <cell r="I105">
            <v>1.7200000000000006</v>
          </cell>
          <cell r="J105">
            <v>1.7200000000000006</v>
          </cell>
          <cell r="K105">
            <v>1.5389999999999999</v>
          </cell>
          <cell r="M105">
            <v>1</v>
          </cell>
          <cell r="N105">
            <v>1.0920000000000001</v>
          </cell>
          <cell r="O105">
            <v>1.0940000000000001</v>
          </cell>
        </row>
        <row r="106">
          <cell r="B106" t="str">
            <v>IV кв. 2001 г.</v>
          </cell>
          <cell r="C106" t="str">
            <v>инерполяция</v>
          </cell>
          <cell r="E106">
            <v>1.3879999999999999</v>
          </cell>
          <cell r="F106">
            <v>1.3879999999999999</v>
          </cell>
          <cell r="G106">
            <v>1.3560000000000001</v>
          </cell>
          <cell r="I106">
            <v>1.8400000000000007</v>
          </cell>
          <cell r="J106">
            <v>1.8400000000000007</v>
          </cell>
          <cell r="K106">
            <v>1.603</v>
          </cell>
          <cell r="M106">
            <v>1</v>
          </cell>
          <cell r="N106">
            <v>1.1380000000000001</v>
          </cell>
          <cell r="O106">
            <v>1.141</v>
          </cell>
        </row>
        <row r="107">
          <cell r="B107" t="str">
            <v>I кв. 2002 г.</v>
          </cell>
          <cell r="C107" t="str">
            <v>инерполяция</v>
          </cell>
          <cell r="E107">
            <v>1.444</v>
          </cell>
          <cell r="F107">
            <v>1.444</v>
          </cell>
          <cell r="G107">
            <v>1.407</v>
          </cell>
          <cell r="I107">
            <v>1.9600000000000009</v>
          </cell>
          <cell r="J107">
            <v>1.9600000000000009</v>
          </cell>
          <cell r="K107">
            <v>1.6759999999999999</v>
          </cell>
          <cell r="M107">
            <v>1.1859999999999999</v>
          </cell>
          <cell r="N107">
            <v>1.1840000000000002</v>
          </cell>
          <cell r="O107">
            <v>1.1879999999999999</v>
          </cell>
        </row>
        <row r="108">
          <cell r="B108" t="str">
            <v>II кв. 2002 г.</v>
          </cell>
          <cell r="C108" t="str">
            <v>инерполяция</v>
          </cell>
          <cell r="E108">
            <v>1.4990000000000001</v>
          </cell>
          <cell r="F108">
            <v>1.4990000000000001</v>
          </cell>
          <cell r="G108">
            <v>1.431</v>
          </cell>
          <cell r="I108">
            <v>2.080000000000001</v>
          </cell>
          <cell r="J108">
            <v>2.080000000000001</v>
          </cell>
          <cell r="K108">
            <v>1.7430000000000001</v>
          </cell>
          <cell r="M108">
            <v>1.1859999999999999</v>
          </cell>
          <cell r="N108">
            <v>1.2300000000000002</v>
          </cell>
          <cell r="O108">
            <v>1.2350000000000001</v>
          </cell>
        </row>
        <row r="109">
          <cell r="B109" t="str">
            <v>III кв. 2002 г.</v>
          </cell>
          <cell r="C109" t="str">
            <v>инерполяция</v>
          </cell>
          <cell r="E109">
            <v>1.5549999999999999</v>
          </cell>
          <cell r="F109">
            <v>1.5549999999999999</v>
          </cell>
          <cell r="G109">
            <v>1.45</v>
          </cell>
          <cell r="I109">
            <v>2.2000000000000011</v>
          </cell>
          <cell r="J109">
            <v>2.2000000000000011</v>
          </cell>
          <cell r="K109">
            <v>1.8</v>
          </cell>
          <cell r="M109">
            <v>1.1859999999999999</v>
          </cell>
          <cell r="N109">
            <v>1.2760000000000002</v>
          </cell>
          <cell r="O109">
            <v>1.282</v>
          </cell>
        </row>
        <row r="110">
          <cell r="B110" t="str">
            <v>IV кв. 2002 г.</v>
          </cell>
          <cell r="C110" t="str">
            <v>инерполяция</v>
          </cell>
          <cell r="E110">
            <v>1.611</v>
          </cell>
          <cell r="F110">
            <v>1.611</v>
          </cell>
          <cell r="G110">
            <v>1.4730000000000001</v>
          </cell>
          <cell r="I110">
            <v>2.3200000000000012</v>
          </cell>
          <cell r="J110">
            <v>2.3200000000000012</v>
          </cell>
          <cell r="K110">
            <v>1.847</v>
          </cell>
          <cell r="M110">
            <v>1.1859999999999999</v>
          </cell>
          <cell r="N110">
            <v>1.3220000000000003</v>
          </cell>
          <cell r="O110">
            <v>1.329</v>
          </cell>
        </row>
        <row r="111">
          <cell r="B111" t="str">
            <v>I кв. 2003 г.</v>
          </cell>
          <cell r="C111" t="str">
            <v>инерполяция</v>
          </cell>
          <cell r="E111">
            <v>1.6659999999999999</v>
          </cell>
          <cell r="F111">
            <v>1.6659999999999999</v>
          </cell>
          <cell r="G111">
            <v>1.508</v>
          </cell>
          <cell r="I111">
            <v>2.4400000000000013</v>
          </cell>
          <cell r="J111">
            <v>2.4400000000000013</v>
          </cell>
          <cell r="K111">
            <v>1.8879999999999999</v>
          </cell>
          <cell r="M111">
            <v>1.365086</v>
          </cell>
          <cell r="N111">
            <v>1.3680000000000003</v>
          </cell>
          <cell r="O111">
            <v>1.3759999999999999</v>
          </cell>
        </row>
        <row r="112">
          <cell r="B112" t="str">
            <v>II кв. 2003 г.</v>
          </cell>
          <cell r="C112" t="str">
            <v>инерполяция</v>
          </cell>
          <cell r="E112">
            <v>1.7210000000000001</v>
          </cell>
          <cell r="F112">
            <v>1.7210000000000001</v>
          </cell>
          <cell r="G112">
            <v>1.5349999999999999</v>
          </cell>
          <cell r="I112">
            <v>2.5600000000000014</v>
          </cell>
          <cell r="J112">
            <v>2.5600000000000014</v>
          </cell>
          <cell r="K112">
            <v>1.968</v>
          </cell>
          <cell r="M112">
            <v>1.365086</v>
          </cell>
          <cell r="N112">
            <v>1.4140000000000004</v>
          </cell>
          <cell r="O112">
            <v>1.423</v>
          </cell>
        </row>
        <row r="113">
          <cell r="B113" t="str">
            <v>III кв. 2003 г.</v>
          </cell>
          <cell r="C113" t="str">
            <v>инерполяция</v>
          </cell>
          <cell r="E113">
            <v>1.7769999999999999</v>
          </cell>
          <cell r="F113">
            <v>1.7769999999999999</v>
          </cell>
          <cell r="G113">
            <v>1.56</v>
          </cell>
          <cell r="I113">
            <v>2.6800000000000015</v>
          </cell>
          <cell r="J113">
            <v>2.6800000000000015</v>
          </cell>
          <cell r="K113">
            <v>2.0419999999999998</v>
          </cell>
          <cell r="M113">
            <v>1.365086</v>
          </cell>
          <cell r="N113">
            <v>1.46</v>
          </cell>
          <cell r="O113">
            <v>1.47</v>
          </cell>
        </row>
        <row r="114">
          <cell r="B114" t="str">
            <v>IV кв. 2003 г.</v>
          </cell>
          <cell r="C114" t="str">
            <v>инерполяция</v>
          </cell>
          <cell r="E114">
            <v>1.833</v>
          </cell>
          <cell r="F114">
            <v>1.833</v>
          </cell>
          <cell r="G114">
            <v>1.5880000000000001</v>
          </cell>
          <cell r="I114">
            <v>2.8000000000000016</v>
          </cell>
          <cell r="J114">
            <v>2.8000000000000016</v>
          </cell>
          <cell r="K114">
            <v>2.0910000000000002</v>
          </cell>
          <cell r="M114">
            <v>1.365086</v>
          </cell>
          <cell r="N114">
            <v>1.5</v>
          </cell>
          <cell r="O114">
            <v>1.5169999999999999</v>
          </cell>
        </row>
        <row r="115">
          <cell r="B115" t="str">
            <v>I кв. 2004 г.</v>
          </cell>
          <cell r="C115" t="str">
            <v>Госстрой 03.03.2004  № НК-1448/10</v>
          </cell>
          <cell r="E115">
            <v>1.8879999999999999</v>
          </cell>
          <cell r="F115">
            <v>1.8879999999999999</v>
          </cell>
          <cell r="G115">
            <v>1.619</v>
          </cell>
          <cell r="I115">
            <v>2.9200000000000017</v>
          </cell>
          <cell r="J115">
            <v>2.9200000000000017</v>
          </cell>
          <cell r="K115">
            <v>2.177</v>
          </cell>
          <cell r="M115">
            <v>1.5288963200000001</v>
          </cell>
          <cell r="N115">
            <v>1.54</v>
          </cell>
          <cell r="O115">
            <v>1.56</v>
          </cell>
        </row>
        <row r="116">
          <cell r="B116" t="str">
            <v>II кв. 2004 г.</v>
          </cell>
          <cell r="C116" t="str">
            <v>Госстрой 03.03.2004  № НК-1448/10</v>
          </cell>
          <cell r="E116">
            <v>1.944</v>
          </cell>
          <cell r="F116">
            <v>1.944</v>
          </cell>
          <cell r="G116">
            <v>1.6719999999999999</v>
          </cell>
          <cell r="I116">
            <v>3.0400000000000018</v>
          </cell>
          <cell r="J116">
            <v>3.0400000000000018</v>
          </cell>
          <cell r="K116">
            <v>2.2389999999999999</v>
          </cell>
          <cell r="M116">
            <v>1.5288963200000001</v>
          </cell>
          <cell r="N116">
            <v>1.6</v>
          </cell>
          <cell r="O116">
            <v>1.62</v>
          </cell>
        </row>
        <row r="117">
          <cell r="B117" t="str">
            <v>III кв. 2004 г.</v>
          </cell>
          <cell r="C117" t="str">
            <v>Госстрой 20.04.2004 г. N СК-2419/10</v>
          </cell>
          <cell r="E117">
            <v>1.9990000000000001</v>
          </cell>
          <cell r="F117">
            <v>1.9990000000000001</v>
          </cell>
          <cell r="G117">
            <v>1.7070000000000001</v>
          </cell>
          <cell r="I117">
            <v>3.1600000000000019</v>
          </cell>
          <cell r="J117">
            <v>3.1600000000000019</v>
          </cell>
          <cell r="K117">
            <v>2.3199999999999998</v>
          </cell>
          <cell r="M117">
            <v>1.5288963200000001</v>
          </cell>
          <cell r="N117">
            <v>1.64</v>
          </cell>
          <cell r="O117">
            <v>1.67</v>
          </cell>
        </row>
        <row r="118">
          <cell r="B118" t="str">
            <v>IV кв. 2004 г.</v>
          </cell>
          <cell r="C118" t="str">
            <v>Госстрой 20.04.2004 г. N СК-2419/10</v>
          </cell>
          <cell r="E118">
            <v>2.0550000000000002</v>
          </cell>
          <cell r="F118">
            <v>2.0550000000000002</v>
          </cell>
          <cell r="G118">
            <v>1.7390000000000001</v>
          </cell>
          <cell r="I118">
            <v>3.280000000000002</v>
          </cell>
          <cell r="J118">
            <v>3.280000000000002</v>
          </cell>
          <cell r="K118">
            <v>2.419</v>
          </cell>
          <cell r="M118">
            <v>1.5288963200000001</v>
          </cell>
          <cell r="N118">
            <v>1.68</v>
          </cell>
          <cell r="O118">
            <v>1.71</v>
          </cell>
        </row>
        <row r="119">
          <cell r="B119" t="str">
            <v>I кв. 2005 г.</v>
          </cell>
          <cell r="C119" t="str">
            <v xml:space="preserve">Минрегион 25.02.2005       № 645-ВГ/70  </v>
          </cell>
          <cell r="E119">
            <v>2.11</v>
          </cell>
          <cell r="F119">
            <v>2.11</v>
          </cell>
          <cell r="G119">
            <v>1.792</v>
          </cell>
          <cell r="I119">
            <v>3.4000000000000021</v>
          </cell>
          <cell r="J119">
            <v>3.4000000000000021</v>
          </cell>
          <cell r="K119">
            <v>2.48</v>
          </cell>
          <cell r="M119">
            <v>1.70777718944</v>
          </cell>
          <cell r="N119">
            <v>1.73</v>
          </cell>
          <cell r="O119">
            <v>1.76</v>
          </cell>
        </row>
        <row r="120">
          <cell r="B120" t="str">
            <v>II кв. 2005 г.</v>
          </cell>
          <cell r="C120" t="str">
            <v>Минрегион 27.05.2005 г. N 2585-МП/70</v>
          </cell>
          <cell r="E120">
            <v>2.1659999999999999</v>
          </cell>
          <cell r="F120">
            <v>2.1659999999999999</v>
          </cell>
          <cell r="G120">
            <v>1.8280000000000001</v>
          </cell>
          <cell r="I120">
            <v>3.5200000000000022</v>
          </cell>
          <cell r="J120">
            <v>3.5200000000000022</v>
          </cell>
          <cell r="K120">
            <v>2.5430000000000001</v>
          </cell>
          <cell r="M120">
            <v>1.70777718944</v>
          </cell>
          <cell r="N120">
            <v>1.81</v>
          </cell>
          <cell r="O120">
            <v>1.84</v>
          </cell>
        </row>
        <row r="121">
          <cell r="B121" t="str">
            <v>III кв. 2005 г.</v>
          </cell>
          <cell r="C121" t="str">
            <v xml:space="preserve">Минрегион 25.07.2005 № 4079-ВА/70 </v>
          </cell>
          <cell r="E121">
            <v>2.2210000000000001</v>
          </cell>
          <cell r="F121">
            <v>2.2210000000000001</v>
          </cell>
          <cell r="G121">
            <v>1.861</v>
          </cell>
          <cell r="I121">
            <v>3.6400000000000023</v>
          </cell>
          <cell r="J121">
            <v>3.6400000000000023</v>
          </cell>
          <cell r="K121">
            <v>2.6040000000000001</v>
          </cell>
          <cell r="M121">
            <v>1.70777718944</v>
          </cell>
          <cell r="N121">
            <v>1.87</v>
          </cell>
          <cell r="O121">
            <v>1.91</v>
          </cell>
        </row>
        <row r="122">
          <cell r="B122" t="str">
            <v>IV кв. 2005 г.</v>
          </cell>
          <cell r="C122" t="str">
            <v>Росстрой 10.11.2005   № СК-4713/02</v>
          </cell>
          <cell r="E122">
            <v>2.2770000000000001</v>
          </cell>
          <cell r="F122">
            <v>2.2770000000000001</v>
          </cell>
          <cell r="G122">
            <v>1.8819999999999999</v>
          </cell>
          <cell r="I122">
            <v>3.7600000000000025</v>
          </cell>
          <cell r="J122">
            <v>3.7600000000000025</v>
          </cell>
          <cell r="K122">
            <v>2.67</v>
          </cell>
          <cell r="M122">
            <v>1.70777718944</v>
          </cell>
          <cell r="N122">
            <v>1.93</v>
          </cell>
          <cell r="O122">
            <v>1.99</v>
          </cell>
        </row>
        <row r="123">
          <cell r="B123" t="str">
            <v>I кв. 2006 г.</v>
          </cell>
          <cell r="C123" t="str">
            <v>Росстрой 08.02.2006 г. N СК-426/02</v>
          </cell>
          <cell r="E123">
            <v>2.3319999999999999</v>
          </cell>
          <cell r="F123">
            <v>2.3319999999999999</v>
          </cell>
          <cell r="G123">
            <v>1.925</v>
          </cell>
          <cell r="I123">
            <v>3.8800000000000026</v>
          </cell>
          <cell r="J123">
            <v>3.8800000000000026</v>
          </cell>
          <cell r="K123">
            <v>2.726</v>
          </cell>
          <cell r="M123">
            <v>1.89392490308896</v>
          </cell>
          <cell r="N123">
            <v>1.99</v>
          </cell>
          <cell r="O123">
            <v>2.04</v>
          </cell>
        </row>
        <row r="124">
          <cell r="B124" t="str">
            <v>II кв. 2006 г.</v>
          </cell>
          <cell r="C124" t="str">
            <v>Росстрой 21.04.2006 г. N СК-1523/02</v>
          </cell>
          <cell r="E124">
            <v>2.3879999999999999</v>
          </cell>
          <cell r="F124">
            <v>2.3879999999999999</v>
          </cell>
          <cell r="G124">
            <v>1.9610000000000001</v>
          </cell>
          <cell r="I124">
            <v>4.0000000000000027</v>
          </cell>
          <cell r="J124">
            <v>4.0000000000000027</v>
          </cell>
          <cell r="K124">
            <v>2.7829999999999999</v>
          </cell>
          <cell r="M124">
            <v>1.89392490308896</v>
          </cell>
          <cell r="N124">
            <v>2.08</v>
          </cell>
          <cell r="O124">
            <v>2.14</v>
          </cell>
        </row>
        <row r="125">
          <cell r="B125" t="str">
            <v>III кв. 2006 г.</v>
          </cell>
          <cell r="C125" t="str">
            <v>Росстрой 10.07.2006г.   СК-2842/02</v>
          </cell>
          <cell r="E125">
            <v>2.4430000000000001</v>
          </cell>
          <cell r="F125">
            <v>2.4430000000000001</v>
          </cell>
          <cell r="G125">
            <v>1.99</v>
          </cell>
          <cell r="I125">
            <v>4.1200000000000028</v>
          </cell>
          <cell r="J125">
            <v>4.1200000000000028</v>
          </cell>
          <cell r="K125">
            <v>2.8929999999999998</v>
          </cell>
          <cell r="M125">
            <v>1.89392490308896</v>
          </cell>
          <cell r="N125">
            <v>2.13</v>
          </cell>
          <cell r="O125">
            <v>2.19</v>
          </cell>
        </row>
        <row r="126">
          <cell r="B126" t="str">
            <v>IV кв. 2006 г.</v>
          </cell>
          <cell r="C126" t="str">
            <v>Росстрой 12.10.2006   № СК-4312/02</v>
          </cell>
          <cell r="E126">
            <v>2.4990000000000001</v>
          </cell>
          <cell r="F126">
            <v>2.4990000000000001</v>
          </cell>
          <cell r="G126">
            <v>2.0249999999999999</v>
          </cell>
          <cell r="I126">
            <v>4.2400000000000029</v>
          </cell>
          <cell r="J126">
            <v>4.2400000000000029</v>
          </cell>
          <cell r="K126">
            <v>3.0459999999999998</v>
          </cell>
          <cell r="M126">
            <v>1.89392490308896</v>
          </cell>
          <cell r="N126">
            <v>2.16</v>
          </cell>
          <cell r="O126">
            <v>2.2400000000000002</v>
          </cell>
        </row>
        <row r="127">
          <cell r="B127" t="str">
            <v>I кв. 2007 г.</v>
          </cell>
          <cell r="C127" t="str">
            <v>Росстрой 23.01.2007 г. N СК-185/02</v>
          </cell>
          <cell r="E127">
            <v>2.5539999999999998</v>
          </cell>
          <cell r="F127">
            <v>2.5539999999999998</v>
          </cell>
          <cell r="G127">
            <v>2.085</v>
          </cell>
          <cell r="I127">
            <v>4.360000000000003</v>
          </cell>
          <cell r="J127">
            <v>4.360000000000003</v>
          </cell>
          <cell r="K127">
            <v>3.1680000000000001</v>
          </cell>
          <cell r="M127">
            <v>2.0643781443669664</v>
          </cell>
          <cell r="N127">
            <v>2.19</v>
          </cell>
          <cell r="O127">
            <v>2.2799999999999998</v>
          </cell>
        </row>
        <row r="128">
          <cell r="B128" t="str">
            <v>II кв. 2007 г.</v>
          </cell>
          <cell r="C128" t="str">
            <v>Росстрой 09.04.2007 г. N СК-1395/02</v>
          </cell>
          <cell r="E128">
            <v>2.61</v>
          </cell>
          <cell r="F128">
            <v>2.61</v>
          </cell>
          <cell r="G128">
            <v>2.14</v>
          </cell>
          <cell r="I128">
            <v>4.4800000000000031</v>
          </cell>
          <cell r="J128">
            <v>4.4800000000000031</v>
          </cell>
          <cell r="K128">
            <v>3.2829999999999999</v>
          </cell>
          <cell r="M128">
            <v>2.0643781443669664</v>
          </cell>
          <cell r="N128">
            <v>2.23</v>
          </cell>
          <cell r="O128">
            <v>2.3199999999999998</v>
          </cell>
        </row>
        <row r="129">
          <cell r="B129" t="str">
            <v>III кв. 2007 г.</v>
          </cell>
          <cell r="C129" t="str">
            <v>Росстрой 24.07.2007 г. N ВК-2778/02</v>
          </cell>
          <cell r="E129">
            <v>2.665</v>
          </cell>
          <cell r="F129">
            <v>2.665</v>
          </cell>
          <cell r="G129">
            <v>2.194</v>
          </cell>
          <cell r="I129">
            <v>4.6000000000000032</v>
          </cell>
          <cell r="J129">
            <v>4.6000000000000032</v>
          </cell>
          <cell r="K129">
            <v>3.45</v>
          </cell>
          <cell r="M129">
            <v>2.0643781443669664</v>
          </cell>
          <cell r="N129">
            <v>2.27</v>
          </cell>
          <cell r="O129">
            <v>2.36</v>
          </cell>
        </row>
        <row r="130">
          <cell r="B130" t="str">
            <v>IV кв. 2007 г.</v>
          </cell>
          <cell r="C130" t="str">
            <v>Росстрой 10.10.2007 г. N СК-3752/02</v>
          </cell>
          <cell r="E130">
            <v>2.7210000000000001</v>
          </cell>
          <cell r="F130">
            <v>2.7210000000000001</v>
          </cell>
          <cell r="G130">
            <v>2.2509999999999999</v>
          </cell>
          <cell r="I130">
            <v>4.7200000000000033</v>
          </cell>
          <cell r="J130">
            <v>4.7200000000000033</v>
          </cell>
          <cell r="K130">
            <v>3.6539999999999999</v>
          </cell>
          <cell r="M130">
            <v>2.0643781443669664</v>
          </cell>
          <cell r="N130">
            <v>2.39</v>
          </cell>
          <cell r="O130">
            <v>2.46</v>
          </cell>
        </row>
        <row r="131">
          <cell r="B131" t="str">
            <v>I кв. 2008 г.</v>
          </cell>
          <cell r="C131" t="str">
            <v>Росстрой 16.01.2008     № ВБ-82/02</v>
          </cell>
          <cell r="E131">
            <v>2.7759999999999998</v>
          </cell>
          <cell r="F131">
            <v>2.7759999999999998</v>
          </cell>
          <cell r="G131">
            <v>2.351</v>
          </cell>
          <cell r="I131">
            <v>4.8400000000000034</v>
          </cell>
          <cell r="J131">
            <v>4.8400000000000034</v>
          </cell>
          <cell r="K131">
            <v>3.84</v>
          </cell>
          <cell r="M131">
            <v>2.3100391435466356</v>
          </cell>
          <cell r="N131">
            <v>2.48</v>
          </cell>
          <cell r="O131">
            <v>2.54</v>
          </cell>
        </row>
        <row r="132">
          <cell r="B132" t="str">
            <v>II кв. 2008 г.</v>
          </cell>
          <cell r="C132" t="str">
            <v>Росстрой 04.04.2008 № ВБ-1305-02</v>
          </cell>
          <cell r="E132">
            <v>2.831</v>
          </cell>
          <cell r="F132">
            <v>2.831</v>
          </cell>
          <cell r="G132">
            <v>2.4340000000000002</v>
          </cell>
          <cell r="I132">
            <v>4.9600000000000035</v>
          </cell>
          <cell r="J132">
            <v>4.9600000000000035</v>
          </cell>
          <cell r="K132">
            <v>3.976</v>
          </cell>
          <cell r="M132">
            <v>2.3100391435466356</v>
          </cell>
          <cell r="N132">
            <v>2.58</v>
          </cell>
          <cell r="O132">
            <v>2.64</v>
          </cell>
        </row>
        <row r="133">
          <cell r="B133" t="str">
            <v>III кв. 2008 г.</v>
          </cell>
          <cell r="C133" t="str">
            <v>Минрегион 09.07.2008 г. N 16568-СК/08</v>
          </cell>
          <cell r="E133">
            <v>2.89</v>
          </cell>
          <cell r="F133">
            <v>2.89</v>
          </cell>
          <cell r="G133">
            <v>2.548</v>
          </cell>
          <cell r="I133">
            <v>5.08</v>
          </cell>
          <cell r="J133">
            <v>5.08</v>
          </cell>
          <cell r="K133">
            <v>4.1660000000000004</v>
          </cell>
          <cell r="M133">
            <v>2.3100391435466356</v>
          </cell>
          <cell r="N133">
            <v>2.69</v>
          </cell>
          <cell r="O133">
            <v>2.75</v>
          </cell>
        </row>
        <row r="134">
          <cell r="B134" t="str">
            <v>IV кв. 2008 г.</v>
          </cell>
          <cell r="C134" t="str">
            <v>Минрегион 14.10.2008 № 26064-СК/08</v>
          </cell>
          <cell r="E134">
            <v>2.92</v>
          </cell>
          <cell r="F134">
            <v>2.92</v>
          </cell>
          <cell r="G134">
            <v>2.601</v>
          </cell>
          <cell r="I134">
            <v>5.14</v>
          </cell>
          <cell r="J134">
            <v>5.14</v>
          </cell>
          <cell r="K134">
            <v>4.3170000000000002</v>
          </cell>
          <cell r="M134">
            <v>2.3100391435466356</v>
          </cell>
          <cell r="N134">
            <v>2.76</v>
          </cell>
          <cell r="O134">
            <v>2.83</v>
          </cell>
        </row>
        <row r="135">
          <cell r="B135" t="str">
            <v>I кв. 2009 г.</v>
          </cell>
          <cell r="C135" t="str">
            <v>Минрегион 12.02.2009 № 3652-СК/08</v>
          </cell>
          <cell r="E135">
            <v>3.07</v>
          </cell>
          <cell r="F135">
            <v>3.07</v>
          </cell>
          <cell r="G135">
            <v>2.65</v>
          </cell>
          <cell r="I135">
            <v>5.47</v>
          </cell>
          <cell r="J135">
            <v>5.47</v>
          </cell>
          <cell r="K135">
            <v>4.3140000000000001</v>
          </cell>
          <cell r="M135">
            <v>2.6172743496383384</v>
          </cell>
          <cell r="N135">
            <v>2.83</v>
          </cell>
          <cell r="O135">
            <v>2.9</v>
          </cell>
        </row>
        <row r="136">
          <cell r="B136" t="str">
            <v>II кв. 2009 г.</v>
          </cell>
          <cell r="C136" t="str">
            <v>Минрегион 09.04.2009 г. N 10217-СК/08</v>
          </cell>
          <cell r="E136">
            <v>3.01</v>
          </cell>
          <cell r="F136">
            <v>3.01</v>
          </cell>
          <cell r="G136">
            <v>2.665</v>
          </cell>
          <cell r="I136">
            <v>5.44</v>
          </cell>
          <cell r="J136">
            <v>5.44</v>
          </cell>
          <cell r="K136">
            <v>4.2789999999999999</v>
          </cell>
          <cell r="M136">
            <v>2.6172743496383384</v>
          </cell>
          <cell r="N136">
            <v>2.97</v>
          </cell>
          <cell r="O136">
            <v>3.03</v>
          </cell>
        </row>
        <row r="137">
          <cell r="B137" t="str">
            <v>III кв. 2009 г.</v>
          </cell>
          <cell r="C137" t="str">
            <v>Минрегион 13.07.2009 г. N 21713-СК/08</v>
          </cell>
          <cell r="E137">
            <v>3.12</v>
          </cell>
          <cell r="F137">
            <v>3.12</v>
          </cell>
          <cell r="G137">
            <v>2.6760000000000002</v>
          </cell>
          <cell r="I137">
            <v>5.6</v>
          </cell>
          <cell r="J137">
            <v>5.6</v>
          </cell>
          <cell r="K137">
            <v>4.3559999999999999</v>
          </cell>
          <cell r="M137">
            <v>2.6172743496383384</v>
          </cell>
          <cell r="N137">
            <v>3.03</v>
          </cell>
          <cell r="O137">
            <v>3.09</v>
          </cell>
        </row>
        <row r="138">
          <cell r="B138" t="str">
            <v>IV кв. 2009 г.</v>
          </cell>
          <cell r="C138" t="str">
            <v xml:space="preserve">Минрегион 13.10.2009 г. N 33498-СК/08 </v>
          </cell>
          <cell r="E138">
            <v>3.16</v>
          </cell>
          <cell r="F138">
            <v>3.16</v>
          </cell>
          <cell r="G138">
            <v>2.6789999999999998</v>
          </cell>
          <cell r="I138">
            <v>5.69</v>
          </cell>
          <cell r="J138">
            <v>5.69</v>
          </cell>
          <cell r="K138">
            <v>4.3689999999999998</v>
          </cell>
          <cell r="M138">
            <v>2.6172743496383384</v>
          </cell>
          <cell r="N138">
            <v>3.08</v>
          </cell>
          <cell r="O138">
            <v>3.14</v>
          </cell>
        </row>
        <row r="139">
          <cell r="B139" t="str">
            <v>I кв. 2010 г.</v>
          </cell>
          <cell r="C139" t="str">
            <v>Минрегион 20.01.2010 г. N 1289-СК/08</v>
          </cell>
          <cell r="E139">
            <v>3.15</v>
          </cell>
          <cell r="F139">
            <v>3.15</v>
          </cell>
          <cell r="G139">
            <v>2.7109999999999999</v>
          </cell>
          <cell r="I139">
            <v>5.8</v>
          </cell>
          <cell r="J139">
            <v>5.8</v>
          </cell>
          <cell r="K139">
            <v>4.4660000000000002</v>
          </cell>
          <cell r="M139">
            <v>2.8475944924065124</v>
          </cell>
          <cell r="N139">
            <v>3.05</v>
          </cell>
          <cell r="O139">
            <v>3.11</v>
          </cell>
        </row>
        <row r="140">
          <cell r="B140" t="str">
            <v>II кв. 2010 г.</v>
          </cell>
          <cell r="C140" t="str">
            <v>Минрегион 26.05.2010 г. N 22030-ВТ/08</v>
          </cell>
          <cell r="E140">
            <v>3.14</v>
          </cell>
          <cell r="F140">
            <v>3.14</v>
          </cell>
          <cell r="G140">
            <v>2.7629999999999999</v>
          </cell>
          <cell r="I140">
            <v>5.77</v>
          </cell>
          <cell r="J140">
            <v>5.77</v>
          </cell>
          <cell r="M140">
            <v>2.8475944924065124</v>
          </cell>
          <cell r="N140">
            <v>3.05</v>
          </cell>
          <cell r="O140">
            <v>3.11</v>
          </cell>
        </row>
        <row r="141">
          <cell r="B141" t="str">
            <v>III кв. 2010 г.</v>
          </cell>
          <cell r="C141" t="str">
            <v>Минрегион 26.07.2010 г. N 28203-кк/08</v>
          </cell>
          <cell r="E141">
            <v>3.27</v>
          </cell>
          <cell r="F141">
            <v>3.27</v>
          </cell>
          <cell r="G141">
            <v>2.806</v>
          </cell>
          <cell r="I141">
            <v>6.03</v>
          </cell>
          <cell r="J141">
            <v>6.03</v>
          </cell>
          <cell r="M141">
            <v>2.8475944924065124</v>
          </cell>
          <cell r="N141">
            <v>3.13</v>
          </cell>
          <cell r="O141">
            <v>3.19</v>
          </cell>
        </row>
        <row r="142">
          <cell r="B142" t="str">
            <v>IV кв. 2010 г.</v>
          </cell>
          <cell r="C142" t="str">
            <v>Минрегион 18.11.2010 № 39160-КК/08</v>
          </cell>
          <cell r="E142">
            <v>3.27</v>
          </cell>
          <cell r="F142">
            <v>3.27</v>
          </cell>
          <cell r="G142">
            <v>2.8370000000000002</v>
          </cell>
          <cell r="I142">
            <v>6.03</v>
          </cell>
          <cell r="J142">
            <v>6.03</v>
          </cell>
          <cell r="M142">
            <v>2.8475944924065124</v>
          </cell>
          <cell r="N142">
            <v>3.13</v>
          </cell>
          <cell r="O142">
            <v>3.19</v>
          </cell>
        </row>
        <row r="143">
          <cell r="B143" t="str">
            <v>I кв. 2011 г.</v>
          </cell>
          <cell r="C143" t="str">
            <v>Минрегион 02.03.2011 № 4511-КК/08</v>
          </cell>
          <cell r="E143">
            <v>3.27</v>
          </cell>
          <cell r="F143">
            <v>3.27</v>
          </cell>
          <cell r="G143">
            <v>2.9359999999999999</v>
          </cell>
          <cell r="I143">
            <v>6.03</v>
          </cell>
          <cell r="J143">
            <v>6.03</v>
          </cell>
          <cell r="M143">
            <v>3.0981828077382856</v>
          </cell>
          <cell r="N143">
            <v>3.13</v>
          </cell>
          <cell r="O143">
            <v>3.19</v>
          </cell>
        </row>
        <row r="144">
          <cell r="B144" t="str">
            <v>II кв. 2011 г.</v>
          </cell>
          <cell r="C144" t="str">
            <v>Минрегион 09.06.2011 № 15076-КК/08</v>
          </cell>
          <cell r="E144">
            <v>3.38</v>
          </cell>
          <cell r="F144">
            <v>3.38</v>
          </cell>
          <cell r="G144">
            <v>2.952</v>
          </cell>
          <cell r="I144">
            <v>6.65</v>
          </cell>
          <cell r="J144">
            <v>6.65</v>
          </cell>
          <cell r="M144">
            <v>3.0981828077382856</v>
          </cell>
          <cell r="N144">
            <v>3.19</v>
          </cell>
          <cell r="O144">
            <v>3.25</v>
          </cell>
        </row>
        <row r="145">
          <cell r="B145" t="str">
            <v>III кв. 2011 г.</v>
          </cell>
          <cell r="C145" t="str">
            <v>Минрегион 15.07.2011 № 18769-АП/08</v>
          </cell>
          <cell r="E145">
            <v>3.48</v>
          </cell>
          <cell r="F145">
            <v>3.48</v>
          </cell>
          <cell r="G145">
            <v>2.9710000000000001</v>
          </cell>
          <cell r="I145">
            <v>6.82</v>
          </cell>
          <cell r="J145">
            <v>6.82</v>
          </cell>
          <cell r="M145">
            <v>3.0981828077382856</v>
          </cell>
          <cell r="N145">
            <v>3.27</v>
          </cell>
          <cell r="O145">
            <v>3.34</v>
          </cell>
        </row>
        <row r="146">
          <cell r="B146" t="str">
            <v>IV кв. 2011 г.</v>
          </cell>
          <cell r="C146" t="str">
            <v>Минрегион 07.11.2011 № 30394-ИП/07</v>
          </cell>
          <cell r="E146">
            <v>3.55</v>
          </cell>
          <cell r="F146">
            <v>3.55</v>
          </cell>
          <cell r="G146">
            <v>2.996</v>
          </cell>
          <cell r="I146">
            <v>6.95</v>
          </cell>
          <cell r="J146">
            <v>6.95</v>
          </cell>
          <cell r="M146">
            <v>3.0981828077382856</v>
          </cell>
          <cell r="N146">
            <v>3.31</v>
          </cell>
          <cell r="O146">
            <v>3.38</v>
          </cell>
        </row>
        <row r="147">
          <cell r="B147" t="str">
            <v>I кв. 2012 г.</v>
          </cell>
          <cell r="C147" t="str">
            <v>Минрегион 28.01.2012 № 4122-ИП/08</v>
          </cell>
          <cell r="E147">
            <v>3.58</v>
          </cell>
          <cell r="F147">
            <v>3.58</v>
          </cell>
          <cell r="G147">
            <v>3.0270000000000001</v>
          </cell>
          <cell r="I147">
            <v>7.06</v>
          </cell>
          <cell r="J147">
            <v>7.06</v>
          </cell>
          <cell r="M147">
            <v>3.2871719590103208</v>
          </cell>
          <cell r="N147">
            <v>3.35</v>
          </cell>
          <cell r="O147">
            <v>3.42</v>
          </cell>
        </row>
        <row r="148">
          <cell r="B148" t="str">
            <v>II кв. 2012 г.</v>
          </cell>
          <cell r="C148" t="str">
            <v>Минрегион 04.05.2012 № 10837-ИП/08</v>
          </cell>
          <cell r="E148">
            <v>3.66</v>
          </cell>
          <cell r="F148">
            <v>3.66</v>
          </cell>
          <cell r="G148">
            <v>3.069</v>
          </cell>
          <cell r="I148">
            <v>7.21</v>
          </cell>
          <cell r="J148">
            <v>7.21</v>
          </cell>
          <cell r="M148">
            <v>3.2871719590103208</v>
          </cell>
          <cell r="N148">
            <v>3.42</v>
          </cell>
          <cell r="O148">
            <v>3.49</v>
          </cell>
        </row>
        <row r="149">
          <cell r="B149" t="str">
            <v>III кв. 2012 г.</v>
          </cell>
          <cell r="C149" t="str">
            <v>Минрегион 03.09.2012 № 23167-АП/08</v>
          </cell>
          <cell r="E149">
            <v>3.74</v>
          </cell>
          <cell r="F149">
            <v>3.74</v>
          </cell>
          <cell r="G149">
            <v>3.101</v>
          </cell>
          <cell r="I149">
            <v>7.38</v>
          </cell>
          <cell r="J149">
            <v>7.38</v>
          </cell>
          <cell r="M149">
            <v>3.2871719590103208</v>
          </cell>
          <cell r="N149">
            <v>3.46</v>
          </cell>
          <cell r="O149">
            <v>3.53</v>
          </cell>
        </row>
        <row r="150">
          <cell r="B150" t="str">
            <v>IV кв. 2012 г.</v>
          </cell>
          <cell r="C150" t="str">
            <v>Госстрой 03.12.2012 № 2836-ИП/12</v>
          </cell>
          <cell r="E150">
            <v>3.82</v>
          </cell>
          <cell r="F150">
            <v>3.82</v>
          </cell>
          <cell r="G150">
            <v>3.1150000000000002</v>
          </cell>
          <cell r="I150">
            <v>7.53</v>
          </cell>
          <cell r="J150">
            <v>7.53</v>
          </cell>
          <cell r="M150">
            <v>3.2871719590103208</v>
          </cell>
          <cell r="N150">
            <v>3.53</v>
          </cell>
          <cell r="O150">
            <v>3.59</v>
          </cell>
        </row>
        <row r="151">
          <cell r="B151" t="str">
            <v>I кв. 2013 г.</v>
          </cell>
          <cell r="C151" t="str">
            <v>Минрегион 12.02.2013 № 1951-ВТ/10</v>
          </cell>
          <cell r="E151">
            <v>3.86</v>
          </cell>
          <cell r="F151">
            <v>3.86</v>
          </cell>
          <cell r="G151">
            <v>3.16</v>
          </cell>
          <cell r="I151">
            <v>7.61</v>
          </cell>
          <cell r="J151">
            <v>7.61</v>
          </cell>
          <cell r="M151">
            <v>3.5041253083050021</v>
          </cell>
          <cell r="N151">
            <v>3.58</v>
          </cell>
          <cell r="O151">
            <v>3.64</v>
          </cell>
        </row>
        <row r="152">
          <cell r="B152" t="str">
            <v>II кв. 2013 г.</v>
          </cell>
          <cell r="C152" t="str">
            <v>Минрегион 07.06.2013 № 9912-СД/10</v>
          </cell>
          <cell r="E152">
            <v>3.9</v>
          </cell>
          <cell r="F152">
            <v>3.9</v>
          </cell>
          <cell r="G152">
            <v>3.1859999999999999</v>
          </cell>
          <cell r="I152">
            <v>7.66</v>
          </cell>
          <cell r="J152">
            <v>7.66</v>
          </cell>
          <cell r="M152">
            <v>3.5041253083050021</v>
          </cell>
          <cell r="N152">
            <v>3.6</v>
          </cell>
          <cell r="O152">
            <v>3.66</v>
          </cell>
        </row>
        <row r="153">
          <cell r="B153" t="str">
            <v>III кв. 2013 г.</v>
          </cell>
          <cell r="C153" t="str">
            <v>Минрегион 29.07.2013 № 13478-СД/10</v>
          </cell>
          <cell r="E153">
            <v>3.94</v>
          </cell>
          <cell r="F153">
            <v>3.94</v>
          </cell>
          <cell r="G153">
            <v>3.2280000000000002</v>
          </cell>
          <cell r="I153">
            <v>7.74</v>
          </cell>
          <cell r="J153">
            <v>7.74</v>
          </cell>
          <cell r="M153">
            <v>3.5041253083050021</v>
          </cell>
          <cell r="N153">
            <v>3.64</v>
          </cell>
          <cell r="O153">
            <v>3.7</v>
          </cell>
        </row>
        <row r="154">
          <cell r="B154" t="str">
            <v>IV кв. 2013 г.</v>
          </cell>
          <cell r="C154" t="str">
            <v>Минрегион 12.11.2013 № 21331-СД/10</v>
          </cell>
          <cell r="E154">
            <v>3.94</v>
          </cell>
          <cell r="F154">
            <v>3.94</v>
          </cell>
          <cell r="G154">
            <v>3.2189999999999999</v>
          </cell>
          <cell r="I154">
            <v>7.74</v>
          </cell>
          <cell r="J154">
            <v>7.74</v>
          </cell>
          <cell r="M154">
            <v>3.5041253083050021</v>
          </cell>
          <cell r="N154">
            <v>3.64</v>
          </cell>
          <cell r="O154">
            <v>3.7</v>
          </cell>
        </row>
        <row r="155">
          <cell r="B155" t="str">
            <v>I кв. 2014 г.</v>
          </cell>
          <cell r="C155" t="str">
            <v>Минстрой 28.02.2014 № 3085-ЕС/08</v>
          </cell>
          <cell r="E155">
            <v>3.94</v>
          </cell>
          <cell r="F155">
            <v>3.94</v>
          </cell>
          <cell r="G155">
            <v>3.222</v>
          </cell>
          <cell r="I155">
            <v>7.74</v>
          </cell>
          <cell r="J155">
            <v>7.74</v>
          </cell>
          <cell r="M155">
            <v>3.7318934533448269</v>
          </cell>
          <cell r="N155">
            <v>3.64</v>
          </cell>
          <cell r="O155">
            <v>3.7</v>
          </cell>
        </row>
        <row r="156">
          <cell r="B156" t="str">
            <v>II кв. 2014 г.</v>
          </cell>
          <cell r="C156" t="str">
            <v>Минстрой 15.05.2014 № 8367-ЕС/08</v>
          </cell>
          <cell r="E156">
            <v>3.96</v>
          </cell>
          <cell r="F156">
            <v>3.96</v>
          </cell>
          <cell r="G156">
            <v>3.2090000000000001</v>
          </cell>
          <cell r="I156">
            <v>7.77</v>
          </cell>
          <cell r="J156">
            <v>7.77</v>
          </cell>
          <cell r="M156">
            <v>3.7318934533448269</v>
          </cell>
          <cell r="N156">
            <v>3.64</v>
          </cell>
          <cell r="O156">
            <v>3.7</v>
          </cell>
        </row>
        <row r="157">
          <cell r="B157" t="str">
            <v>III кв. 2014 г.</v>
          </cell>
          <cell r="C157" t="str">
            <v>Минстрой 04.08.2014 № 15285-ЕС/08</v>
          </cell>
          <cell r="E157">
            <v>4.04</v>
          </cell>
          <cell r="F157">
            <v>4.04</v>
          </cell>
          <cell r="I157">
            <v>7.93</v>
          </cell>
          <cell r="J157">
            <v>7.93</v>
          </cell>
          <cell r="M157">
            <v>3.7318934533448269</v>
          </cell>
          <cell r="N157">
            <v>3.7</v>
          </cell>
          <cell r="O157">
            <v>3.76</v>
          </cell>
        </row>
        <row r="158">
          <cell r="B158" t="str">
            <v>IV кв. 2014 г.</v>
          </cell>
          <cell r="C158" t="str">
            <v>Минстрой 13.11.2014 № 25374-ЮР/08</v>
          </cell>
          <cell r="E158">
            <v>4.0199999999999996</v>
          </cell>
          <cell r="F158">
            <v>4.0199999999999996</v>
          </cell>
          <cell r="I158">
            <v>7.9</v>
          </cell>
          <cell r="J158">
            <v>7.9</v>
          </cell>
          <cell r="M158">
            <v>3.7318934533448269</v>
          </cell>
          <cell r="N158">
            <v>3.7</v>
          </cell>
          <cell r="O158">
            <v>3.76</v>
          </cell>
        </row>
        <row r="159">
          <cell r="B159" t="str">
            <v>I кв. 2015 г.</v>
          </cell>
          <cell r="E159">
            <v>1</v>
          </cell>
          <cell r="F159">
            <v>1</v>
          </cell>
          <cell r="I159">
            <v>1</v>
          </cell>
          <cell r="J159">
            <v>1</v>
          </cell>
          <cell r="M159">
            <v>4.1573293070261377</v>
          </cell>
          <cell r="N159">
            <v>1</v>
          </cell>
          <cell r="O159">
            <v>1</v>
          </cell>
        </row>
        <row r="160">
          <cell r="B160" t="str">
            <v>II кв. 2015 г.</v>
          </cell>
          <cell r="E160">
            <v>1</v>
          </cell>
          <cell r="F160">
            <v>1</v>
          </cell>
          <cell r="I160">
            <v>1</v>
          </cell>
          <cell r="J160">
            <v>1</v>
          </cell>
          <cell r="M160">
            <v>4.1573293070261377</v>
          </cell>
          <cell r="N160">
            <v>1</v>
          </cell>
          <cell r="O160">
            <v>1</v>
          </cell>
        </row>
        <row r="161">
          <cell r="B161" t="str">
            <v>III кв. 2015 г.</v>
          </cell>
          <cell r="E161">
            <v>1</v>
          </cell>
          <cell r="F161">
            <v>1</v>
          </cell>
          <cell r="I161">
            <v>1</v>
          </cell>
          <cell r="J161">
            <v>1</v>
          </cell>
          <cell r="M161">
            <v>4.1573293070261377</v>
          </cell>
          <cell r="N161">
            <v>1</v>
          </cell>
          <cell r="O161">
            <v>1</v>
          </cell>
        </row>
        <row r="162">
          <cell r="B162" t="str">
            <v>IV кв. 2015 г.</v>
          </cell>
          <cell r="E162">
            <v>1</v>
          </cell>
          <cell r="F162">
            <v>1</v>
          </cell>
          <cell r="I162">
            <v>1</v>
          </cell>
          <cell r="J162">
            <v>1</v>
          </cell>
          <cell r="M162">
            <v>4.1573293070261377</v>
          </cell>
          <cell r="N162">
            <v>1</v>
          </cell>
          <cell r="O162">
            <v>1</v>
          </cell>
        </row>
        <row r="163">
          <cell r="B163" t="str">
            <v>I кв. 2016 г.</v>
          </cell>
          <cell r="E163">
            <v>1</v>
          </cell>
          <cell r="F163">
            <v>1</v>
          </cell>
          <cell r="I163">
            <v>1</v>
          </cell>
          <cell r="J163">
            <v>1</v>
          </cell>
          <cell r="M163">
            <v>4.1573293070261377</v>
          </cell>
          <cell r="N163">
            <v>1</v>
          </cell>
          <cell r="O163">
            <v>1</v>
          </cell>
        </row>
        <row r="164">
          <cell r="B164" t="str">
            <v>II кв. 2016 г.</v>
          </cell>
          <cell r="E164">
            <v>1</v>
          </cell>
          <cell r="F164">
            <v>1</v>
          </cell>
          <cell r="I164">
            <v>1</v>
          </cell>
          <cell r="J164">
            <v>1</v>
          </cell>
          <cell r="M164">
            <v>4.1573293070261377</v>
          </cell>
          <cell r="N164">
            <v>1</v>
          </cell>
          <cell r="O164">
            <v>1</v>
          </cell>
        </row>
        <row r="165">
          <cell r="B165" t="str">
            <v>III кв. 2016 г.</v>
          </cell>
          <cell r="E165">
            <v>1</v>
          </cell>
          <cell r="F165">
            <v>1</v>
          </cell>
          <cell r="I165">
            <v>1</v>
          </cell>
          <cell r="J165">
            <v>1</v>
          </cell>
          <cell r="M165">
            <v>4.1573293070261377</v>
          </cell>
          <cell r="N165">
            <v>1</v>
          </cell>
          <cell r="O165">
            <v>1</v>
          </cell>
        </row>
        <row r="166">
          <cell r="B166" t="str">
            <v>IV кв. 2016 г.</v>
          </cell>
          <cell r="E166">
            <v>1</v>
          </cell>
          <cell r="F166">
            <v>1</v>
          </cell>
          <cell r="I166">
            <v>1</v>
          </cell>
          <cell r="J166">
            <v>1</v>
          </cell>
          <cell r="M166">
            <v>4.1573293070261377</v>
          </cell>
          <cell r="N166">
            <v>1</v>
          </cell>
          <cell r="O166">
            <v>1</v>
          </cell>
        </row>
        <row r="167">
          <cell r="B167" t="str">
            <v>I кв. 2017 г.</v>
          </cell>
          <cell r="E167">
            <v>1</v>
          </cell>
          <cell r="F167">
            <v>1</v>
          </cell>
          <cell r="I167">
            <v>1</v>
          </cell>
          <cell r="J167">
            <v>1</v>
          </cell>
          <cell r="M167">
            <v>4.1573293070261377</v>
          </cell>
          <cell r="N167">
            <v>1</v>
          </cell>
          <cell r="O167">
            <v>1</v>
          </cell>
        </row>
        <row r="168">
          <cell r="B168" t="str">
            <v>II кв. 2017 г.</v>
          </cell>
          <cell r="E168">
            <v>1</v>
          </cell>
          <cell r="F168">
            <v>1</v>
          </cell>
          <cell r="I168">
            <v>1</v>
          </cell>
          <cell r="J168">
            <v>1</v>
          </cell>
          <cell r="M168">
            <v>4.1573293070261377</v>
          </cell>
          <cell r="N168">
            <v>1</v>
          </cell>
          <cell r="O168">
            <v>1</v>
          </cell>
        </row>
        <row r="169">
          <cell r="B169" t="str">
            <v>III кв. 2017 г.</v>
          </cell>
          <cell r="E169">
            <v>1</v>
          </cell>
          <cell r="F169">
            <v>1</v>
          </cell>
          <cell r="I169">
            <v>1</v>
          </cell>
          <cell r="J169">
            <v>1</v>
          </cell>
          <cell r="M169">
            <v>4.1573293070261377</v>
          </cell>
          <cell r="N169">
            <v>1</v>
          </cell>
          <cell r="O169">
            <v>1</v>
          </cell>
        </row>
        <row r="170">
          <cell r="B170" t="str">
            <v>IV кв. 2017 г.</v>
          </cell>
          <cell r="E170">
            <v>1</v>
          </cell>
          <cell r="F170">
            <v>1</v>
          </cell>
          <cell r="I170">
            <v>1</v>
          </cell>
          <cell r="J170">
            <v>1</v>
          </cell>
          <cell r="M170">
            <v>4.1573293070261377</v>
          </cell>
          <cell r="N170">
            <v>1</v>
          </cell>
          <cell r="O170">
            <v>1</v>
          </cell>
        </row>
        <row r="171">
          <cell r="B171" t="str">
            <v>I кв. 2018 г.</v>
          </cell>
          <cell r="E171">
            <v>1</v>
          </cell>
          <cell r="F171">
            <v>1</v>
          </cell>
          <cell r="I171">
            <v>1</v>
          </cell>
          <cell r="J171">
            <v>1</v>
          </cell>
          <cell r="M171">
            <v>4.1573293070261377</v>
          </cell>
          <cell r="N171">
            <v>1</v>
          </cell>
          <cell r="O171">
            <v>1</v>
          </cell>
        </row>
        <row r="172">
          <cell r="B172" t="str">
            <v>II кв. 2018 г.</v>
          </cell>
          <cell r="E172">
            <v>1</v>
          </cell>
          <cell r="F172">
            <v>1</v>
          </cell>
          <cell r="I172">
            <v>1</v>
          </cell>
          <cell r="J172">
            <v>1</v>
          </cell>
          <cell r="M172">
            <v>4.1573293070261377</v>
          </cell>
          <cell r="N172">
            <v>1</v>
          </cell>
          <cell r="O172">
            <v>1</v>
          </cell>
        </row>
        <row r="173">
          <cell r="B173" t="str">
            <v>III кв. 2018 г.</v>
          </cell>
          <cell r="E173">
            <v>1</v>
          </cell>
          <cell r="F173">
            <v>1</v>
          </cell>
          <cell r="I173">
            <v>1</v>
          </cell>
          <cell r="J173">
            <v>1</v>
          </cell>
          <cell r="M173">
            <v>4.1573293070261377</v>
          </cell>
          <cell r="N173">
            <v>1</v>
          </cell>
          <cell r="O173">
            <v>1</v>
          </cell>
        </row>
        <row r="174">
          <cell r="B174" t="str">
            <v>IV кв. 2018 г.</v>
          </cell>
          <cell r="E174">
            <v>1</v>
          </cell>
          <cell r="F174">
            <v>1</v>
          </cell>
          <cell r="I174">
            <v>1</v>
          </cell>
          <cell r="J174">
            <v>1</v>
          </cell>
          <cell r="M174">
            <v>4.1573293070261377</v>
          </cell>
          <cell r="N174">
            <v>1</v>
          </cell>
          <cell r="O174">
            <v>1</v>
          </cell>
        </row>
        <row r="175">
          <cell r="B175" t="str">
            <v>I кв. 2019 г.</v>
          </cell>
          <cell r="E175">
            <v>1</v>
          </cell>
          <cell r="F175">
            <v>1</v>
          </cell>
          <cell r="I175">
            <v>1</v>
          </cell>
          <cell r="J175">
            <v>1</v>
          </cell>
          <cell r="M175">
            <v>4.1573293070261377</v>
          </cell>
          <cell r="N175">
            <v>1</v>
          </cell>
          <cell r="O175">
            <v>1</v>
          </cell>
        </row>
        <row r="176">
          <cell r="B176" t="str">
            <v>II кв. 2019 г.</v>
          </cell>
          <cell r="E176">
            <v>1</v>
          </cell>
          <cell r="F176">
            <v>1</v>
          </cell>
          <cell r="I176">
            <v>1</v>
          </cell>
          <cell r="J176">
            <v>1</v>
          </cell>
          <cell r="M176">
            <v>4.1573293070261377</v>
          </cell>
          <cell r="N176">
            <v>1</v>
          </cell>
          <cell r="O176">
            <v>1</v>
          </cell>
        </row>
        <row r="177">
          <cell r="B177" t="str">
            <v>III кв. 2019 г.</v>
          </cell>
          <cell r="E177">
            <v>1</v>
          </cell>
          <cell r="F177">
            <v>1</v>
          </cell>
          <cell r="I177">
            <v>1</v>
          </cell>
          <cell r="J177">
            <v>1</v>
          </cell>
          <cell r="M177">
            <v>4.1573293070261377</v>
          </cell>
          <cell r="N177">
            <v>1</v>
          </cell>
          <cell r="O177">
            <v>1</v>
          </cell>
        </row>
        <row r="178">
          <cell r="B178" t="str">
            <v>IV кв. 2019 г.</v>
          </cell>
          <cell r="E178">
            <v>1</v>
          </cell>
          <cell r="F178">
            <v>1</v>
          </cell>
          <cell r="I178">
            <v>1</v>
          </cell>
          <cell r="J178">
            <v>1</v>
          </cell>
          <cell r="M178">
            <v>4.1573293070261377</v>
          </cell>
          <cell r="N178">
            <v>1</v>
          </cell>
          <cell r="O178">
            <v>1</v>
          </cell>
        </row>
        <row r="179">
          <cell r="B179" t="str">
            <v>I кв. 2020 г.</v>
          </cell>
          <cell r="E179">
            <v>1</v>
          </cell>
          <cell r="F179">
            <v>1</v>
          </cell>
          <cell r="I179">
            <v>1</v>
          </cell>
          <cell r="J179">
            <v>1</v>
          </cell>
          <cell r="M179">
            <v>4.1573293070261377</v>
          </cell>
          <cell r="N179">
            <v>1</v>
          </cell>
          <cell r="O179">
            <v>1</v>
          </cell>
        </row>
        <row r="180">
          <cell r="B180" t="str">
            <v>II кв. 2020 г.</v>
          </cell>
          <cell r="E180">
            <v>1</v>
          </cell>
          <cell r="F180">
            <v>1</v>
          </cell>
          <cell r="I180">
            <v>1</v>
          </cell>
          <cell r="J180">
            <v>1</v>
          </cell>
          <cell r="M180">
            <v>4.1573293070261377</v>
          </cell>
          <cell r="N180">
            <v>1</v>
          </cell>
          <cell r="O180">
            <v>1</v>
          </cell>
        </row>
        <row r="181">
          <cell r="B181" t="str">
            <v>III кв. 2020 г.</v>
          </cell>
          <cell r="E181">
            <v>1</v>
          </cell>
          <cell r="F181">
            <v>1</v>
          </cell>
          <cell r="I181">
            <v>1</v>
          </cell>
          <cell r="J181">
            <v>1</v>
          </cell>
          <cell r="M181">
            <v>4.1573293070261377</v>
          </cell>
          <cell r="N181">
            <v>1</v>
          </cell>
          <cell r="O181">
            <v>1</v>
          </cell>
        </row>
        <row r="182">
          <cell r="B182" t="str">
            <v>IV кв. 2020 г.</v>
          </cell>
          <cell r="E182">
            <v>1</v>
          </cell>
          <cell r="F182">
            <v>1</v>
          </cell>
          <cell r="I182">
            <v>1</v>
          </cell>
          <cell r="J182">
            <v>1</v>
          </cell>
          <cell r="M182">
            <v>4.1573293070261377</v>
          </cell>
          <cell r="N182">
            <v>1</v>
          </cell>
          <cell r="O182">
            <v>1</v>
          </cell>
        </row>
      </sheetData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ССР"/>
      <sheetName val="Таблица"/>
      <sheetName val="Регионы"/>
      <sheetName val="НМЦ лота"/>
    </sheetNames>
    <sheetDataSet>
      <sheetData sheetId="0" refreshError="1"/>
      <sheetData sheetId="1" refreshError="1"/>
      <sheetData sheetId="2" refreshError="1"/>
      <sheetData sheetId="3">
        <row r="26">
          <cell r="R26">
            <v>1.02</v>
          </cell>
        </row>
        <row r="27">
          <cell r="R27">
            <v>1.04</v>
          </cell>
        </row>
        <row r="28">
          <cell r="R28">
            <v>1.08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theme="7" tint="0.59999389629810485"/>
  </sheetPr>
  <dimension ref="A1:AL412"/>
  <sheetViews>
    <sheetView view="pageBreakPreview" zoomScale="85" zoomScaleNormal="80" zoomScaleSheetLayoutView="85" workbookViewId="0">
      <selection activeCell="C18" sqref="C18"/>
    </sheetView>
  </sheetViews>
  <sheetFormatPr defaultColWidth="9.140625" defaultRowHeight="12.75" x14ac:dyDescent="0.2"/>
  <cols>
    <col min="1" max="1" width="4" style="116" customWidth="1"/>
    <col min="2" max="2" width="9.140625" style="2" customWidth="1"/>
    <col min="3" max="3" width="45.5703125" style="2" customWidth="1"/>
    <col min="4" max="4" width="35.7109375" style="2" customWidth="1"/>
    <col min="5" max="5" width="6.42578125" style="2" customWidth="1"/>
    <col min="6" max="6" width="10.42578125" style="2" customWidth="1"/>
    <col min="7" max="7" width="7.28515625" style="2" customWidth="1"/>
    <col min="8" max="8" width="5.7109375" style="2" customWidth="1"/>
    <col min="9" max="9" width="6.85546875" style="2" customWidth="1"/>
    <col min="10" max="10" width="7.5703125" style="2" customWidth="1"/>
    <col min="11" max="11" width="7.7109375" style="2" customWidth="1"/>
    <col min="12" max="12" width="5.42578125" style="2" hidden="1" customWidth="1"/>
    <col min="13" max="13" width="8.7109375" style="2" hidden="1" customWidth="1"/>
    <col min="14" max="14" width="11.42578125" style="2" customWidth="1"/>
    <col min="15" max="15" width="9.140625" style="2" customWidth="1"/>
    <col min="16" max="16" width="18.42578125" style="2" bestFit="1" customWidth="1"/>
    <col min="17" max="17" width="20.140625" style="2" customWidth="1"/>
    <col min="18" max="18" width="20.28515625" style="2" customWidth="1"/>
    <col min="19" max="20" width="13.85546875" style="2" hidden="1" customWidth="1"/>
    <col min="21" max="23" width="13.85546875" style="79" hidden="1" customWidth="1"/>
    <col min="24" max="25" width="13.5703125" style="89" hidden="1" customWidth="1"/>
    <col min="26" max="26" width="10.85546875" style="89" hidden="1" customWidth="1"/>
    <col min="27" max="27" width="13.5703125" style="89" hidden="1" customWidth="1"/>
    <col min="28" max="28" width="10.42578125" style="89" hidden="1" customWidth="1"/>
    <col min="29" max="29" width="12.42578125" style="137" hidden="1" customWidth="1"/>
    <col min="30" max="30" width="10.42578125" style="89" hidden="1" customWidth="1"/>
    <col min="31" max="31" width="10" style="60" bestFit="1" customWidth="1"/>
    <col min="32" max="34" width="9.140625" style="60"/>
    <col min="35" max="35" width="9.140625" style="2" customWidth="1"/>
    <col min="36" max="16384" width="9.140625" style="2"/>
  </cols>
  <sheetData>
    <row r="1" spans="1:30" x14ac:dyDescent="0.2">
      <c r="L1" s="68" t="s">
        <v>634</v>
      </c>
      <c r="M1" s="68" t="s">
        <v>634</v>
      </c>
      <c r="O1" s="68" t="s">
        <v>634</v>
      </c>
      <c r="S1" s="68" t="s">
        <v>634</v>
      </c>
      <c r="T1" s="68" t="s">
        <v>634</v>
      </c>
      <c r="U1" s="68" t="s">
        <v>634</v>
      </c>
      <c r="V1" s="68" t="s">
        <v>634</v>
      </c>
      <c r="W1" s="68" t="s">
        <v>634</v>
      </c>
      <c r="X1" s="89" t="s">
        <v>634</v>
      </c>
      <c r="Y1" s="89" t="s">
        <v>634</v>
      </c>
      <c r="Z1" s="89" t="s">
        <v>634</v>
      </c>
      <c r="AA1" s="89" t="s">
        <v>634</v>
      </c>
      <c r="AB1" s="89" t="s">
        <v>634</v>
      </c>
      <c r="AC1" s="137" t="s">
        <v>634</v>
      </c>
      <c r="AD1" s="89" t="s">
        <v>634</v>
      </c>
    </row>
    <row r="3" spans="1:30" ht="8.25" customHeight="1" x14ac:dyDescent="0.2"/>
    <row r="4" spans="1:30" ht="18.75" x14ac:dyDescent="0.3">
      <c r="B4" s="9" t="s">
        <v>1393</v>
      </c>
      <c r="C4" s="7"/>
      <c r="D4" s="7"/>
    </row>
    <row r="5" spans="1:30" x14ac:dyDescent="0.2">
      <c r="B5" s="2" t="s">
        <v>1355</v>
      </c>
      <c r="C5" s="50" t="s">
        <v>1431</v>
      </c>
    </row>
    <row r="6" spans="1:30" ht="25.5" x14ac:dyDescent="0.2">
      <c r="B6" s="3" t="s">
        <v>1192</v>
      </c>
      <c r="C6" s="608" t="s">
        <v>1440</v>
      </c>
      <c r="D6" s="608"/>
      <c r="E6" s="608"/>
      <c r="F6" s="608"/>
      <c r="G6" s="608"/>
      <c r="H6" s="608"/>
      <c r="I6" s="608"/>
      <c r="J6" s="608"/>
      <c r="K6" s="608"/>
      <c r="L6" s="608"/>
      <c r="M6" s="608"/>
      <c r="N6" s="608"/>
      <c r="O6" s="608"/>
      <c r="P6" s="608"/>
      <c r="Q6" s="608"/>
      <c r="R6" s="608"/>
    </row>
    <row r="8" spans="1:30" x14ac:dyDescent="0.2">
      <c r="B8" s="2" t="s">
        <v>253</v>
      </c>
      <c r="C8" s="612" t="s">
        <v>1389</v>
      </c>
      <c r="D8" s="612"/>
      <c r="O8" s="60"/>
      <c r="P8" s="60"/>
      <c r="Q8" s="60"/>
    </row>
    <row r="9" spans="1:30" x14ac:dyDescent="0.2">
      <c r="B9" s="2" t="s">
        <v>471</v>
      </c>
      <c r="C9" s="612" t="s">
        <v>1409</v>
      </c>
      <c r="D9" s="612"/>
      <c r="L9" s="209"/>
    </row>
    <row r="10" spans="1:30" x14ac:dyDescent="0.2">
      <c r="D10" s="52"/>
      <c r="E10" s="52"/>
      <c r="L10" s="209">
        <f ca="1">IFERROR(OFFSET(Регионы!$HH$5,MATCH($C$11,Регионы!$B$6:$B$91,0),0,1,1),1)</f>
        <v>3</v>
      </c>
      <c r="M10" s="209">
        <f ca="1">MIN(MAX(1,E11),L10)</f>
        <v>3</v>
      </c>
    </row>
    <row r="11" spans="1:30" ht="13.5" thickBot="1" x14ac:dyDescent="0.25">
      <c r="B11" s="2" t="s">
        <v>0</v>
      </c>
      <c r="C11" s="31" t="s">
        <v>1317</v>
      </c>
      <c r="D11" s="52" t="str">
        <f ca="1">IF($L$10=1,"","Сегмент ("&amp;"≤"&amp;L10&amp;"): ")</f>
        <v xml:space="preserve">Сегмент (≤3): </v>
      </c>
      <c r="E11" s="242">
        <v>3</v>
      </c>
      <c r="F11" s="2" t="s">
        <v>298</v>
      </c>
      <c r="G11" s="31" t="s">
        <v>236</v>
      </c>
      <c r="H11" s="60"/>
      <c r="I11" s="60"/>
      <c r="K11" s="2" t="s">
        <v>260</v>
      </c>
      <c r="M11" s="2">
        <f ca="1">IFERROR(VLOOKUP(C11,Регионы!B6:H91,7,FALSE),1)</f>
        <v>1.22</v>
      </c>
      <c r="P11" s="609" t="s">
        <v>101</v>
      </c>
      <c r="Q11" s="610"/>
    </row>
    <row r="12" spans="1:30" ht="13.5" thickBot="1" x14ac:dyDescent="0.25">
      <c r="B12" s="2" t="s">
        <v>320</v>
      </c>
      <c r="C12" s="31"/>
      <c r="D12" s="52"/>
      <c r="E12" s="52"/>
      <c r="F12" s="2" t="s">
        <v>643</v>
      </c>
      <c r="G12" s="49" t="s">
        <v>1420</v>
      </c>
      <c r="K12" s="2" t="s">
        <v>1035</v>
      </c>
      <c r="M12" s="16" t="b">
        <f>OR(C12=Таблица!M7,C12=Таблица!M8)</f>
        <v>0</v>
      </c>
      <c r="P12" s="379">
        <v>0.03</v>
      </c>
      <c r="Q12" s="60"/>
      <c r="R12" s="220"/>
      <c r="S12" s="60"/>
      <c r="T12" s="118" t="s">
        <v>1258</v>
      </c>
      <c r="U12" s="119">
        <f>IF(SUM(R210:R220),1,0)</f>
        <v>0</v>
      </c>
      <c r="V12" s="86"/>
    </row>
    <row r="13" spans="1:30" x14ac:dyDescent="0.2">
      <c r="C13" s="31"/>
      <c r="K13" s="57" t="s">
        <v>1187</v>
      </c>
      <c r="M13" s="16" t="b">
        <f>OR(C13=Таблица!M9,C13=Таблица!M10)</f>
        <v>0</v>
      </c>
      <c r="P13" s="48">
        <v>110</v>
      </c>
      <c r="Q13" s="57" t="s">
        <v>434</v>
      </c>
    </row>
    <row r="15" spans="1:30" ht="22.5" customHeight="1" x14ac:dyDescent="0.2">
      <c r="A15" s="586" t="s">
        <v>325</v>
      </c>
      <c r="B15" s="590" t="s">
        <v>427</v>
      </c>
      <c r="C15" s="588" t="s">
        <v>324</v>
      </c>
      <c r="D15" s="586" t="s">
        <v>1104</v>
      </c>
      <c r="E15" s="599" t="s">
        <v>326</v>
      </c>
      <c r="F15" s="599"/>
      <c r="G15" s="599"/>
      <c r="H15" s="599"/>
      <c r="I15" s="599"/>
      <c r="J15" s="599" t="s">
        <v>328</v>
      </c>
      <c r="K15" s="599"/>
      <c r="L15" s="21"/>
      <c r="M15" s="13"/>
      <c r="N15" s="599" t="s">
        <v>410</v>
      </c>
      <c r="O15" s="599"/>
      <c r="P15" s="599"/>
      <c r="Q15" s="586" t="s">
        <v>406</v>
      </c>
      <c r="R15" s="590" t="s">
        <v>407</v>
      </c>
    </row>
    <row r="16" spans="1:30" ht="29.25" customHeight="1" x14ac:dyDescent="0.2">
      <c r="A16" s="587"/>
      <c r="B16" s="590"/>
      <c r="C16" s="588"/>
      <c r="D16" s="587"/>
      <c r="E16" s="77" t="s">
        <v>404</v>
      </c>
      <c r="F16" s="77" t="s">
        <v>400</v>
      </c>
      <c r="G16" s="77" t="s">
        <v>405</v>
      </c>
      <c r="H16" s="77" t="s">
        <v>327</v>
      </c>
      <c r="I16" s="77" t="s">
        <v>635</v>
      </c>
      <c r="J16" s="77" t="s">
        <v>329</v>
      </c>
      <c r="K16" s="77" t="s">
        <v>306</v>
      </c>
      <c r="L16" s="77" t="s">
        <v>475</v>
      </c>
      <c r="M16" s="77" t="s">
        <v>433</v>
      </c>
      <c r="N16" s="238" t="s">
        <v>1341</v>
      </c>
      <c r="O16" s="78" t="s">
        <v>401</v>
      </c>
      <c r="P16" s="77" t="s">
        <v>1412</v>
      </c>
      <c r="Q16" s="587"/>
      <c r="R16" s="590"/>
      <c r="S16" s="4" t="s">
        <v>184</v>
      </c>
      <c r="T16" s="4" t="s">
        <v>995</v>
      </c>
      <c r="U16" s="108" t="s">
        <v>259</v>
      </c>
      <c r="V16" s="108" t="s">
        <v>311</v>
      </c>
      <c r="W16" s="108" t="s">
        <v>1295</v>
      </c>
      <c r="X16" s="90" t="s">
        <v>1233</v>
      </c>
      <c r="Y16" s="90" t="s">
        <v>1326</v>
      </c>
      <c r="Z16" s="90" t="s">
        <v>1032</v>
      </c>
      <c r="AA16" s="90" t="s">
        <v>1234</v>
      </c>
      <c r="AB16" s="90" t="s">
        <v>1031</v>
      </c>
      <c r="AC16" s="138" t="s">
        <v>1201</v>
      </c>
    </row>
    <row r="17" spans="1:32" x14ac:dyDescent="0.2">
      <c r="A17" s="114"/>
      <c r="B17" s="1"/>
      <c r="C17" s="1"/>
      <c r="D17" s="1" t="s">
        <v>1105</v>
      </c>
      <c r="E17" s="1" t="s">
        <v>436</v>
      </c>
      <c r="F17" s="1" t="s">
        <v>436</v>
      </c>
      <c r="G17" s="1" t="s">
        <v>402</v>
      </c>
      <c r="H17" s="1" t="s">
        <v>436</v>
      </c>
      <c r="I17" s="1" t="s">
        <v>435</v>
      </c>
      <c r="J17" s="1"/>
      <c r="K17" s="1"/>
      <c r="L17" s="1"/>
      <c r="M17" s="1" t="s">
        <v>434</v>
      </c>
      <c r="N17" s="1"/>
      <c r="O17" s="1"/>
      <c r="P17" s="1"/>
      <c r="Q17" s="10"/>
      <c r="R17" s="1"/>
    </row>
    <row r="18" spans="1:32" x14ac:dyDescent="0.2">
      <c r="A18" s="114"/>
      <c r="B18" s="1"/>
      <c r="C18" s="6" t="s">
        <v>330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0"/>
      <c r="R18" s="249"/>
    </row>
    <row r="19" spans="1:32" x14ac:dyDescent="0.2">
      <c r="A19" s="114"/>
      <c r="B19" s="1"/>
      <c r="C19" s="15" t="s">
        <v>1239</v>
      </c>
      <c r="D19" s="15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0"/>
      <c r="R19" s="249">
        <v>0</v>
      </c>
    </row>
    <row r="20" spans="1:32" x14ac:dyDescent="0.2">
      <c r="A20" s="239" t="str">
        <f>IF(C20="","",1)</f>
        <v/>
      </c>
      <c r="B20" s="1" t="str">
        <f>IFERROR(VLOOKUP($C24,Таблица!$B$88:$E$106,2,FALSE),"")</f>
        <v/>
      </c>
      <c r="C20" s="48"/>
      <c r="D20" s="31"/>
      <c r="E20" s="1"/>
      <c r="F20" s="1"/>
      <c r="G20" s="1"/>
      <c r="H20" s="1"/>
      <c r="I20" s="1"/>
      <c r="J20" s="58" t="str">
        <f>IF($C20="","","км")</f>
        <v/>
      </c>
      <c r="K20" s="42"/>
      <c r="L20" s="56" t="str">
        <f>IFERROR(VLOOKUP($C20,Таблица!$B$88:$F$106,4,FALSE),"")</f>
        <v/>
      </c>
      <c r="M20" s="1" t="str">
        <f>IFERROR(VLOOKUP($C20,Таблица!$B$88:$F$106,5,FALSE),"")</f>
        <v/>
      </c>
      <c r="N20" s="58" t="str">
        <f>IF($C20="","","т.р./га")</f>
        <v/>
      </c>
      <c r="O20" s="1"/>
      <c r="P20" s="240"/>
      <c r="Q20" s="11" t="str">
        <f>IF($C20&lt;&gt;"","V","")</f>
        <v/>
      </c>
      <c r="R20" s="249">
        <f>IF(C20="",0,IFERROR(K20*L20/10000*P20,0))</f>
        <v>0</v>
      </c>
      <c r="S20" s="62"/>
      <c r="T20" s="62"/>
      <c r="U20" s="84"/>
      <c r="V20" s="84"/>
      <c r="W20" s="84">
        <f>R20</f>
        <v>0</v>
      </c>
      <c r="X20" s="83">
        <v>0</v>
      </c>
      <c r="Y20" s="83">
        <v>0</v>
      </c>
      <c r="Z20" s="83">
        <v>0</v>
      </c>
      <c r="AA20" s="83">
        <v>0</v>
      </c>
      <c r="AB20" s="83">
        <v>0</v>
      </c>
      <c r="AC20" s="83">
        <v>0</v>
      </c>
    </row>
    <row r="21" spans="1:32" s="60" customFormat="1" x14ac:dyDescent="0.2">
      <c r="A21" s="222" t="str">
        <f>IF(C21="","",MAX(A$20:A20)+1)</f>
        <v/>
      </c>
      <c r="B21" s="56" t="str">
        <f>IFERROR(VLOOKUP($C25,Таблица!$B$88:$E$106,2,FALSE),"")</f>
        <v/>
      </c>
      <c r="C21" s="48"/>
      <c r="D21" s="48"/>
      <c r="E21" s="56"/>
      <c r="F21" s="56"/>
      <c r="G21" s="56"/>
      <c r="H21" s="56"/>
      <c r="I21" s="56"/>
      <c r="J21" s="58" t="str">
        <f>IF($C21="","","км")</f>
        <v/>
      </c>
      <c r="K21" s="51"/>
      <c r="L21" s="56" t="str">
        <f>IFERROR(VLOOKUP($C21,Таблица!$B$88:$F$106,4,FALSE),"")</f>
        <v/>
      </c>
      <c r="M21" s="56" t="str">
        <f>IFERROR(VLOOKUP($C21,Таблица!$B$88:$F$106,5,FALSE),"")</f>
        <v/>
      </c>
      <c r="N21" s="58" t="str">
        <f>IF($C21="","","т.р./га")</f>
        <v/>
      </c>
      <c r="O21" s="56"/>
      <c r="P21" s="51"/>
      <c r="Q21" s="11" t="str">
        <f>IF($C21&lt;&gt;"","V","")</f>
        <v/>
      </c>
      <c r="R21" s="249">
        <f>IF(C21="",0,IFERROR(K21*L21/10000*P21,0))</f>
        <v>0</v>
      </c>
      <c r="S21" s="62"/>
      <c r="T21" s="62"/>
      <c r="U21" s="84"/>
      <c r="V21" s="84"/>
      <c r="W21" s="84">
        <f>R21</f>
        <v>0</v>
      </c>
      <c r="X21" s="83">
        <v>0</v>
      </c>
      <c r="Y21" s="83">
        <v>0</v>
      </c>
      <c r="Z21" s="83">
        <v>0</v>
      </c>
      <c r="AA21" s="83">
        <v>0</v>
      </c>
      <c r="AB21" s="83">
        <v>0</v>
      </c>
      <c r="AC21" s="83">
        <v>0</v>
      </c>
      <c r="AD21" s="89"/>
    </row>
    <row r="22" spans="1:32" s="60" customFormat="1" x14ac:dyDescent="0.2">
      <c r="A22" s="239" t="str">
        <f>IF(C22="","",MAX(A$20:A21)+1)</f>
        <v/>
      </c>
      <c r="B22" s="56" t="str">
        <f>IFERROR(VLOOKUP($C22,Таблица!$B$666:$E$672,2,FALSE),"")</f>
        <v/>
      </c>
      <c r="C22" s="48"/>
      <c r="D22" s="48"/>
      <c r="E22" s="56"/>
      <c r="F22" s="56"/>
      <c r="G22" s="50"/>
      <c r="H22" s="56"/>
      <c r="I22" s="56"/>
      <c r="J22" s="56" t="str">
        <f>IF($C22="","","шт.")</f>
        <v/>
      </c>
      <c r="K22" s="64"/>
      <c r="L22" s="56">
        <f>IFERROR(VLOOKUP($C22,Таблица!$B$666:$K$672,4,FALSE),0)</f>
        <v>0</v>
      </c>
      <c r="M22" s="56" t="str">
        <f>IFERROR(VLOOKUP($C22,Таблица!$B$666:$F$672,5,FALSE),"")</f>
        <v/>
      </c>
      <c r="N22" s="56" t="str">
        <f>IF($K22="","","т.р./га")</f>
        <v/>
      </c>
      <c r="O22" s="56">
        <f t="shared" ref="O22" si="0">IF(E22="",1,E22)*IF(F22="",1,F22)*IF(G22="",1,G22)*IF(H22="",1,H22)*IF(I22="",1,I22)</f>
        <v>1</v>
      </c>
      <c r="P22" s="51"/>
      <c r="Q22" s="11" t="str">
        <f>IF($C22&lt;&gt;"","V","")</f>
        <v/>
      </c>
      <c r="R22" s="249">
        <f>IF(C22="",0,IFERROR(K22*L22/10000*P22,0))</f>
        <v>0</v>
      </c>
      <c r="S22" s="62"/>
      <c r="T22" s="62"/>
      <c r="U22" s="84"/>
      <c r="V22" s="84"/>
      <c r="W22" s="84">
        <f>R22</f>
        <v>0</v>
      </c>
      <c r="X22" s="83">
        <v>0</v>
      </c>
      <c r="Y22" s="83">
        <v>0</v>
      </c>
      <c r="Z22" s="83">
        <v>0</v>
      </c>
      <c r="AA22" s="83">
        <v>0</v>
      </c>
      <c r="AB22" s="83">
        <v>0</v>
      </c>
      <c r="AC22" s="83">
        <v>0</v>
      </c>
      <c r="AD22" s="89"/>
    </row>
    <row r="23" spans="1:32" x14ac:dyDescent="0.2">
      <c r="A23" s="114"/>
      <c r="B23" s="1"/>
      <c r="C23" s="15" t="s">
        <v>330</v>
      </c>
      <c r="D23" s="15"/>
      <c r="E23" s="1"/>
      <c r="F23" s="1"/>
      <c r="G23" s="1"/>
      <c r="H23" s="1"/>
      <c r="I23" s="1"/>
      <c r="J23" s="1"/>
      <c r="K23" s="1"/>
      <c r="L23" s="221"/>
      <c r="M23" s="1"/>
      <c r="N23" s="1"/>
      <c r="O23" s="1"/>
      <c r="P23" s="1"/>
      <c r="Q23" s="1"/>
      <c r="R23" s="249">
        <v>0</v>
      </c>
    </row>
    <row r="24" spans="1:32" x14ac:dyDescent="0.2">
      <c r="A24" s="114" t="str">
        <f>IF(C24="","",MAX(A$20:A23)+1)</f>
        <v/>
      </c>
      <c r="B24" s="1" t="str">
        <f>IFERROR(VLOOKUP($C24,Таблица!$B$6:$E$81,2,FALSE),"")</f>
        <v/>
      </c>
      <c r="C24" s="48"/>
      <c r="D24" s="31"/>
      <c r="E24" s="32"/>
      <c r="F24" s="32"/>
      <c r="G24" s="32"/>
      <c r="H24" s="32"/>
      <c r="I24" s="1" t="str">
        <f>IF(AND(K24&lt;0.1,K24&gt;0),1.35,"")</f>
        <v/>
      </c>
      <c r="J24" s="1" t="str">
        <f>IF($C24="","","км")</f>
        <v/>
      </c>
      <c r="K24" s="51"/>
      <c r="L24" s="1">
        <f>IFERROR(VLOOKUP($C24,Таблица!$B$6:$K$81,3,FALSE),0)</f>
        <v>0</v>
      </c>
      <c r="M24" s="1" t="str">
        <f>IFERROR(VLOOKUP($C24,Таблица!$B$6:$F$81,5,FALSE),"")</f>
        <v/>
      </c>
      <c r="N24" s="1" t="str">
        <f>IFERROR(VLOOKUP($C24,Таблица!$B$6:$E$81,4,FALSE),"")</f>
        <v/>
      </c>
      <c r="O24" s="1">
        <f>IF(E24="",1,E24)*IF(F24="",1,F24)*IF(G24="",1,G24)*IF(H24="",1,H24)*IF(I24="",1,I24)</f>
        <v>1</v>
      </c>
      <c r="P24" s="42"/>
      <c r="Q24" s="11" t="str">
        <f>IF(OR(AND(ISERROR(VLOOKUP($C24,Таблица!$B$6:$E$81,2,FALSE)),$C24&lt;&gt;""),P24&lt;&gt;""),"V","")</f>
        <v/>
      </c>
      <c r="R24" s="249">
        <f>IFERROR(ROUND(K24*IF(P24="",N24*O24,P24*O24),2),0)</f>
        <v>0</v>
      </c>
      <c r="S24" s="62">
        <f>ROUND(IFERROR(VLOOKUP($C24,Таблица!$B$6:$K$81,6,FALSE),80)/100*$AC24,2)</f>
        <v>0</v>
      </c>
      <c r="T24" s="62">
        <f>ROUND(IFERROR(VLOOKUP($C24,Таблица!$B$6:$K$81,7,FALSE),4)/100*$AC24,2)</f>
        <v>0</v>
      </c>
      <c r="U24" s="84">
        <f>ROUND(IFERROR(VLOOKUP($C24,Таблица!$B$6:$K$81,8,FALSE),0)/100*$AC24,2)</f>
        <v>0</v>
      </c>
      <c r="V24" s="84">
        <f>ROUND(IFERROR(VLOOKUP($C24,Таблица!$B$6:$K$81,9,FALSE),7)/100*$AC24,2)</f>
        <v>0</v>
      </c>
      <c r="W24" s="84">
        <f>ROUND(IFERROR(VLOOKUP($C24,Таблица!$B$6:$K$81,10,FALSE),9)/100*$AC24,2)</f>
        <v>0</v>
      </c>
      <c r="X24" s="88">
        <f>IF($R24="",0,ROUND($R24*IF($M24&gt;=35,Таблица!$O$44,Таблица!$O$36)*(1+$K$55),2))</f>
        <v>0</v>
      </c>
      <c r="Y24" s="88">
        <f>IF($R24="",0,ROUND($R24*IF($M24&gt;=35,Таблица!$O$45,Таблица!$O$37)*IF($M$12,0.8,1)*(1+$K$55),2))</f>
        <v>0</v>
      </c>
      <c r="Z24" s="88">
        <f>IF($R24="",0,ROUND($R24*IF($M24&gt;=35,Таблица!$O$46,Таблица!$O$38)*(1+$K$55),2))</f>
        <v>0</v>
      </c>
      <c r="AA24" s="88">
        <f>IF($R24="",0,ROUND($R24*IF($M24&gt;=35,Таблица!$O$47,Таблица!$O$39)*(1+$K$55),2))</f>
        <v>0</v>
      </c>
      <c r="AB24" s="88">
        <f>IF($R24="",0,ROUND($R24*IF($M24&gt;=35,Таблица!$O$48,Таблица!$O$40)*(1+$K$55),2))</f>
        <v>0</v>
      </c>
      <c r="AC24" s="139">
        <f t="shared" ref="AC24:AC43" si="1">IFERROR(ROUND(R24*(1+$K$55),2)+SUM(X24:AB24),0)</f>
        <v>0</v>
      </c>
      <c r="AE24" s="85"/>
      <c r="AF24" s="85"/>
    </row>
    <row r="25" spans="1:32" x14ac:dyDescent="0.2">
      <c r="A25" s="114" t="str">
        <f>IF(C25="","",MAX(A$20:A24)+1)</f>
        <v/>
      </c>
      <c r="B25" s="1" t="str">
        <f>IFERROR(VLOOKUP($C25,Таблица!$B$6:$E$81,2,FALSE),"")</f>
        <v/>
      </c>
      <c r="C25" s="48"/>
      <c r="D25" s="31"/>
      <c r="E25" s="32"/>
      <c r="F25" s="32"/>
      <c r="G25" s="32"/>
      <c r="H25" s="32"/>
      <c r="I25" s="1" t="str">
        <f>IF(AND(K25&lt;0.1,K25&gt;0),1.35,"")</f>
        <v/>
      </c>
      <c r="J25" s="1" t="str">
        <f>IF($C25="","","км")</f>
        <v/>
      </c>
      <c r="K25" s="42"/>
      <c r="L25" s="1">
        <f>IFERROR(VLOOKUP($C25,Таблица!$B$6:$K$81,3,FALSE),0)</f>
        <v>0</v>
      </c>
      <c r="M25" s="56" t="str">
        <f>IFERROR(VLOOKUP($C25,Таблица!$B$6:$F$81,5,FALSE),"")</f>
        <v/>
      </c>
      <c r="N25" s="1" t="str">
        <f>IFERROR(VLOOKUP($C25,Таблица!$B$6:$E$81,4,FALSE),"")</f>
        <v/>
      </c>
      <c r="O25" s="56">
        <f t="shared" ref="O25:O43" si="2">IF(E25="",1,E25)*IF(F25="",1,F25)*IF(G25="",1,G25)*IF(H25="",1,H25)*IF(I25="",1,I25)</f>
        <v>1</v>
      </c>
      <c r="P25" s="42"/>
      <c r="Q25" s="11" t="str">
        <f>IF(OR(AND(ISERROR(VLOOKUP($C25,Таблица!$B$6:$E$81,2,FALSE)),$C25&lt;&gt;""),P25&lt;&gt;""),"V","")</f>
        <v/>
      </c>
      <c r="R25" s="249">
        <f t="shared" ref="R25:R43" si="3">IFERROR(ROUND(K25*IF(P25="",N25*O25,P25*O25),2),0)</f>
        <v>0</v>
      </c>
      <c r="S25" s="62">
        <f>ROUND(IFERROR(VLOOKUP($C25,Таблица!$B$6:$K$81,6,FALSE),80)/100*$AC25,2)</f>
        <v>0</v>
      </c>
      <c r="T25" s="62">
        <f>ROUND(IFERROR(VLOOKUP($C25,Таблица!$B$6:$K$81,7,FALSE),4)/100*$AC25,2)</f>
        <v>0</v>
      </c>
      <c r="U25" s="84">
        <f>ROUND(IFERROR(VLOOKUP($C25,Таблица!$B$6:$K$81,8,FALSE),0)/100*$AC25,2)</f>
        <v>0</v>
      </c>
      <c r="V25" s="84">
        <f>ROUND(IFERROR(VLOOKUP($C25,Таблица!$B$6:$K$81,9,FALSE),7)/100*$AC25,2)</f>
        <v>0</v>
      </c>
      <c r="W25" s="84">
        <f>ROUND(IFERROR(VLOOKUP($C25,Таблица!$B$6:$K$81,10,FALSE),9)/100*$AC25,2)</f>
        <v>0</v>
      </c>
      <c r="X25" s="88">
        <f>IF($R25="",0,ROUND($R25*IF($M25&gt;=35,Таблица!$O$44,Таблица!$O$36)*(1+$K$55),2))</f>
        <v>0</v>
      </c>
      <c r="Y25" s="88">
        <f>IF($R25="",0,ROUND($R25*IF($M25&gt;=35,Таблица!$O$45,Таблица!$O$37)*IF($M$12,0.8,1)*(1+$K$55),2))</f>
        <v>0</v>
      </c>
      <c r="Z25" s="88">
        <f>IF($R25="",0,ROUND($R25*IF($M25&gt;=35,Таблица!$O$46,Таблица!$O$38)*(1+$K$55),2))</f>
        <v>0</v>
      </c>
      <c r="AA25" s="88">
        <f>IF($R25="",0,ROUND($R25*IF($M25&gt;=35,Таблица!$O$47,Таблица!$O$39)*(1+$K$55),2))</f>
        <v>0</v>
      </c>
      <c r="AB25" s="88">
        <f>IF($R25="",0,ROUND($R25*IF($M25&gt;=35,Таблица!$O$48,Таблица!$O$40)*(1+$K$55),2))</f>
        <v>0</v>
      </c>
      <c r="AC25" s="139">
        <f t="shared" si="1"/>
        <v>0</v>
      </c>
      <c r="AE25" s="85"/>
      <c r="AF25" s="85"/>
    </row>
    <row r="26" spans="1:32" x14ac:dyDescent="0.2">
      <c r="A26" s="125" t="str">
        <f>IF(C26="","",MAX(A$20:A25)+1)</f>
        <v/>
      </c>
      <c r="B26" s="1" t="str">
        <f>IFERROR(VLOOKUP($C26,Таблица!$B$6:$E$81,2,FALSE),"")</f>
        <v/>
      </c>
      <c r="C26" s="31"/>
      <c r="D26" s="31"/>
      <c r="E26" s="32"/>
      <c r="F26" s="32"/>
      <c r="G26" s="32"/>
      <c r="H26" s="32"/>
      <c r="I26" s="1" t="str">
        <f>IF(AND(K26&lt;0.1,K26&gt;0),1.35,"")</f>
        <v/>
      </c>
      <c r="J26" s="1" t="str">
        <f>IF($C26="","","км")</f>
        <v/>
      </c>
      <c r="K26" s="42"/>
      <c r="L26" s="1">
        <f>IFERROR(VLOOKUP($C26,Таблица!$B$6:$K$81,3,FALSE),0)</f>
        <v>0</v>
      </c>
      <c r="M26" s="56" t="str">
        <f>IFERROR(VLOOKUP($C26,Таблица!$B$6:$F$81,5,FALSE),"")</f>
        <v/>
      </c>
      <c r="N26" s="1" t="str">
        <f>IFERROR(VLOOKUP($C26,Таблица!$B$6:$E$81,4,FALSE),"")</f>
        <v/>
      </c>
      <c r="O26" s="56">
        <f t="shared" si="2"/>
        <v>1</v>
      </c>
      <c r="P26" s="42"/>
      <c r="Q26" s="11" t="str">
        <f>IF(OR(AND(ISERROR(VLOOKUP($C26,Таблица!$B$6:$E$81,2,FALSE)),$C26&lt;&gt;""),P26&lt;&gt;""),"V","")</f>
        <v/>
      </c>
      <c r="R26" s="249">
        <f t="shared" si="3"/>
        <v>0</v>
      </c>
      <c r="S26" s="62">
        <f>ROUND(IFERROR(VLOOKUP($C26,Таблица!$B$6:$K$81,6,FALSE),80)/100*$AC26,2)</f>
        <v>0</v>
      </c>
      <c r="T26" s="62">
        <f>ROUND(IFERROR(VLOOKUP($C26,Таблица!$B$6:$K$81,7,FALSE),4)/100*$AC26,2)</f>
        <v>0</v>
      </c>
      <c r="U26" s="84">
        <f>ROUND(IFERROR(VLOOKUP($C26,Таблица!$B$6:$K$81,8,FALSE),0)/100*$AC26,2)</f>
        <v>0</v>
      </c>
      <c r="V26" s="84">
        <f>ROUND(IFERROR(VLOOKUP($C26,Таблица!$B$6:$K$81,9,FALSE),7)/100*$AC26,2)</f>
        <v>0</v>
      </c>
      <c r="W26" s="84">
        <f>ROUND(IFERROR(VLOOKUP($C26,Таблица!$B$6:$K$81,10,FALSE),9)/100*$AC26,2)</f>
        <v>0</v>
      </c>
      <c r="X26" s="88">
        <f>IF($R26="",0,ROUND($R26*IF($M26&gt;=35,Таблица!$O$44,Таблица!$O$36)*(1+$K$55),2))</f>
        <v>0</v>
      </c>
      <c r="Y26" s="88">
        <f>IF($R26="",0,ROUND($R26*IF($M26&gt;=35,Таблица!$O$45,Таблица!$O$37)*IF($M$12,0.8,1)*(1+$K$55),2))</f>
        <v>0</v>
      </c>
      <c r="Z26" s="88">
        <f>IF($R26="",0,ROUND($R26*IF($M26&gt;=35,Таблица!$O$46,Таблица!$O$38)*(1+$K$55),2))</f>
        <v>0</v>
      </c>
      <c r="AA26" s="88">
        <f>IF($R26="",0,ROUND($R26*IF($M26&gt;=35,Таблица!$O$47,Таблица!$O$39)*(1+$K$55),2))</f>
        <v>0</v>
      </c>
      <c r="AB26" s="88">
        <f>IF($R26="",0,ROUND($R26*IF($M26&gt;=35,Таблица!$O$48,Таблица!$O$40)*(1+$K$55),2))</f>
        <v>0</v>
      </c>
      <c r="AC26" s="139">
        <f t="shared" si="1"/>
        <v>0</v>
      </c>
      <c r="AE26" s="85"/>
      <c r="AF26" s="85"/>
    </row>
    <row r="27" spans="1:32" x14ac:dyDescent="0.2">
      <c r="A27" s="125" t="str">
        <f>IF(C27="","",MAX(A$20:A26)+1)</f>
        <v/>
      </c>
      <c r="B27" s="1" t="str">
        <f>IFERROR(VLOOKUP($C27,Таблица!$B$6:$E$81,2,FALSE),"")</f>
        <v/>
      </c>
      <c r="C27" s="31"/>
      <c r="D27" s="31"/>
      <c r="E27" s="32"/>
      <c r="F27" s="32"/>
      <c r="G27" s="32"/>
      <c r="H27" s="32"/>
      <c r="I27" s="1" t="str">
        <f t="shared" ref="I27:I43" si="4">IF(AND(K27&lt;0.1,K27&gt;0),1.35,"")</f>
        <v/>
      </c>
      <c r="J27" s="1" t="str">
        <f t="shared" ref="J27:J43" si="5">IF($C27="","","км")</f>
        <v/>
      </c>
      <c r="K27" s="42"/>
      <c r="L27" s="1">
        <f>IFERROR(VLOOKUP($C27,Таблица!$B$6:$K$81,3,FALSE),0)</f>
        <v>0</v>
      </c>
      <c r="M27" s="56" t="str">
        <f>IFERROR(VLOOKUP($C27,Таблица!$B$6:$F$81,5,FALSE),"")</f>
        <v/>
      </c>
      <c r="N27" s="1" t="str">
        <f>IFERROR(VLOOKUP($C27,Таблица!$B$6:$E$81,4,FALSE),"")</f>
        <v/>
      </c>
      <c r="O27" s="56">
        <f t="shared" si="2"/>
        <v>1</v>
      </c>
      <c r="P27" s="42"/>
      <c r="Q27" s="11" t="str">
        <f>IF(OR(AND(ISERROR(VLOOKUP($C27,Таблица!$B$6:$E$81,2,FALSE)),$C27&lt;&gt;""),P27&lt;&gt;""),"V","")</f>
        <v/>
      </c>
      <c r="R27" s="249">
        <f t="shared" si="3"/>
        <v>0</v>
      </c>
      <c r="S27" s="62">
        <f>ROUND(IFERROR(VLOOKUP($C27,Таблица!$B$6:$K$81,6,FALSE),80)/100*$AC27,2)</f>
        <v>0</v>
      </c>
      <c r="T27" s="62">
        <f>ROUND(IFERROR(VLOOKUP($C27,Таблица!$B$6:$K$81,7,FALSE),4)/100*$AC27,2)</f>
        <v>0</v>
      </c>
      <c r="U27" s="84">
        <f>ROUND(IFERROR(VLOOKUP($C27,Таблица!$B$6:$K$81,8,FALSE),0)/100*$AC27,2)</f>
        <v>0</v>
      </c>
      <c r="V27" s="84">
        <f>ROUND(IFERROR(VLOOKUP($C27,Таблица!$B$6:$K$81,9,FALSE),7)/100*$AC27,2)</f>
        <v>0</v>
      </c>
      <c r="W27" s="84">
        <f>ROUND(IFERROR(VLOOKUP($C27,Таблица!$B$6:$K$81,10,FALSE),9)/100*$AC27,2)</f>
        <v>0</v>
      </c>
      <c r="X27" s="88">
        <f>IF($R27="",0,ROUND($R27*IF($M27&gt;=35,Таблица!$O$44,Таблица!$O$36)*(1+$K$55),2))</f>
        <v>0</v>
      </c>
      <c r="Y27" s="88">
        <f>IF($R27="",0,ROUND($R27*IF($M27&gt;=35,Таблица!$O$45,Таблица!$O$37)*IF($M$12,0.8,1)*(1+$K$55),2))</f>
        <v>0</v>
      </c>
      <c r="Z27" s="88">
        <f>IF($R27="",0,ROUND($R27*IF($M27&gt;=35,Таблица!$O$46,Таблица!$O$38)*(1+$K$55),2))</f>
        <v>0</v>
      </c>
      <c r="AA27" s="88">
        <f>IF($R27="",0,ROUND($R27*IF($M27&gt;=35,Таблица!$O$47,Таблица!$O$39)*(1+$K$55),2))</f>
        <v>0</v>
      </c>
      <c r="AB27" s="88">
        <f>IF($R27="",0,ROUND($R27*IF($M27&gt;=35,Таблица!$O$48,Таблица!$O$40)*(1+$K$55),2))</f>
        <v>0</v>
      </c>
      <c r="AC27" s="139">
        <f t="shared" si="1"/>
        <v>0</v>
      </c>
      <c r="AE27" s="85"/>
      <c r="AF27" s="85"/>
    </row>
    <row r="28" spans="1:32" x14ac:dyDescent="0.2">
      <c r="A28" s="125" t="str">
        <f>IF(C28="","",MAX(A$20:A27)+1)</f>
        <v/>
      </c>
      <c r="B28" s="1" t="str">
        <f>IFERROR(VLOOKUP($C28,Таблица!$B$6:$E$81,2,FALSE),"")</f>
        <v/>
      </c>
      <c r="C28" s="31"/>
      <c r="D28" s="31"/>
      <c r="E28" s="32"/>
      <c r="F28" s="32"/>
      <c r="G28" s="32"/>
      <c r="H28" s="32"/>
      <c r="I28" s="1" t="str">
        <f t="shared" si="4"/>
        <v/>
      </c>
      <c r="J28" s="1" t="str">
        <f t="shared" si="5"/>
        <v/>
      </c>
      <c r="K28" s="42"/>
      <c r="L28" s="1">
        <f>IFERROR(VLOOKUP($C28,Таблица!$B$6:$K$81,3,FALSE),0)</f>
        <v>0</v>
      </c>
      <c r="M28" s="56" t="str">
        <f>IFERROR(VLOOKUP($C28,Таблица!$B$6:$F$81,5,FALSE),"")</f>
        <v/>
      </c>
      <c r="N28" s="1" t="str">
        <f>IFERROR(VLOOKUP($C28,Таблица!$B$6:$E$81,4,FALSE),"")</f>
        <v/>
      </c>
      <c r="O28" s="56">
        <f t="shared" si="2"/>
        <v>1</v>
      </c>
      <c r="P28" s="42"/>
      <c r="Q28" s="11" t="str">
        <f>IF(OR(AND(ISERROR(VLOOKUP($C28,Таблица!$B$6:$E$81,2,FALSE)),$C28&lt;&gt;""),P28&lt;&gt;""),"V","")</f>
        <v/>
      </c>
      <c r="R28" s="249">
        <f t="shared" si="3"/>
        <v>0</v>
      </c>
      <c r="S28" s="62">
        <f>ROUND(IFERROR(VLOOKUP($C28,Таблица!$B$6:$K$81,6,FALSE),80)/100*$AC28,2)</f>
        <v>0</v>
      </c>
      <c r="T28" s="62">
        <f>ROUND(IFERROR(VLOOKUP($C28,Таблица!$B$6:$K$81,7,FALSE),4)/100*$AC28,2)</f>
        <v>0</v>
      </c>
      <c r="U28" s="84">
        <f>ROUND(IFERROR(VLOOKUP($C28,Таблица!$B$6:$K$81,8,FALSE),0)/100*$AC28,2)</f>
        <v>0</v>
      </c>
      <c r="V28" s="84">
        <f>ROUND(IFERROR(VLOOKUP($C28,Таблица!$B$6:$K$81,9,FALSE),7)/100*$AC28,2)</f>
        <v>0</v>
      </c>
      <c r="W28" s="84">
        <f>ROUND(IFERROR(VLOOKUP($C28,Таблица!$B$6:$K$81,10,FALSE),9)/100*$AC28,2)</f>
        <v>0</v>
      </c>
      <c r="X28" s="88">
        <f>IF($R28="",0,ROUND($R28*IF($M28&gt;=35,Таблица!$O$44,Таблица!$O$36)*(1+$K$55),2))</f>
        <v>0</v>
      </c>
      <c r="Y28" s="88">
        <f>IF($R28="",0,ROUND($R28*IF($M28&gt;=35,Таблица!$O$45,Таблица!$O$37)*IF($M$12,0.8,1)*(1+$K$55),2))</f>
        <v>0</v>
      </c>
      <c r="Z28" s="88">
        <f>IF($R28="",0,ROUND($R28*IF($M28&gt;=35,Таблица!$O$46,Таблица!$O$38)*(1+$K$55),2))</f>
        <v>0</v>
      </c>
      <c r="AA28" s="88">
        <f>IF($R28="",0,ROUND($R28*IF($M28&gt;=35,Таблица!$O$47,Таблица!$O$39)*(1+$K$55),2))</f>
        <v>0</v>
      </c>
      <c r="AB28" s="88">
        <f>IF($R28="",0,ROUND($R28*IF($M28&gt;=35,Таблица!$O$48,Таблица!$O$40)*(1+$K$55),2))</f>
        <v>0</v>
      </c>
      <c r="AC28" s="139">
        <f t="shared" si="1"/>
        <v>0</v>
      </c>
      <c r="AE28" s="85"/>
      <c r="AF28" s="85"/>
    </row>
    <row r="29" spans="1:32" s="60" customFormat="1" x14ac:dyDescent="0.2">
      <c r="A29" s="125" t="str">
        <f>IF(C29="","",MAX(A$20:A28)+1)</f>
        <v/>
      </c>
      <c r="B29" s="56" t="str">
        <f>IFERROR(VLOOKUP($C29,Таблица!$B$6:$E$81,2,FALSE),"")</f>
        <v/>
      </c>
      <c r="C29" s="48"/>
      <c r="D29" s="48"/>
      <c r="E29" s="50"/>
      <c r="F29" s="50"/>
      <c r="G29" s="50"/>
      <c r="H29" s="50"/>
      <c r="I29" s="56" t="str">
        <f t="shared" ref="I29:I36" si="6">IF(AND(K29&lt;0.1,K29&gt;0),1.35,"")</f>
        <v/>
      </c>
      <c r="J29" s="56" t="str">
        <f t="shared" si="5"/>
        <v/>
      </c>
      <c r="K29" s="51"/>
      <c r="L29" s="56">
        <f>IFERROR(VLOOKUP($C29,Таблица!$B$6:$K$81,3,FALSE),0)</f>
        <v>0</v>
      </c>
      <c r="M29" s="56" t="str">
        <f>IFERROR(VLOOKUP($C29,Таблица!$B$6:$F$81,5,FALSE),"")</f>
        <v/>
      </c>
      <c r="N29" s="56" t="str">
        <f>IFERROR(VLOOKUP($C29,Таблица!$B$6:$E$81,4,FALSE),"")</f>
        <v/>
      </c>
      <c r="O29" s="56">
        <f t="shared" ref="O29:O36" si="7">IF(E29="",1,E29)*IF(F29="",1,F29)*IF(G29="",1,G29)*IF(H29="",1,H29)*IF(I29="",1,I29)</f>
        <v>1</v>
      </c>
      <c r="P29" s="51"/>
      <c r="Q29" s="11" t="str">
        <f>IF(OR(AND(ISERROR(VLOOKUP($C29,Таблица!$B$6:$E$81,2,FALSE)),$C29&lt;&gt;""),P29&lt;&gt;""),"V","")</f>
        <v/>
      </c>
      <c r="R29" s="249">
        <f t="shared" si="3"/>
        <v>0</v>
      </c>
      <c r="S29" s="62">
        <f>ROUND(IFERROR(VLOOKUP($C29,Таблица!$B$6:$K$81,6,FALSE),80)/100*$AC29,2)</f>
        <v>0</v>
      </c>
      <c r="T29" s="62">
        <f>ROUND(IFERROR(VLOOKUP($C29,Таблица!$B$6:$K$81,7,FALSE),4)/100*$AC29,2)</f>
        <v>0</v>
      </c>
      <c r="U29" s="84">
        <f>ROUND(IFERROR(VLOOKUP($C29,Таблица!$B$6:$K$81,8,FALSE),0)/100*$AC29,2)</f>
        <v>0</v>
      </c>
      <c r="V29" s="84">
        <f>ROUND(IFERROR(VLOOKUP($C29,Таблица!$B$6:$K$81,9,FALSE),7)/100*$AC29,2)</f>
        <v>0</v>
      </c>
      <c r="W29" s="84">
        <f>ROUND(IFERROR(VLOOKUP($C29,Таблица!$B$6:$K$81,10,FALSE),9)/100*$AC29,2)</f>
        <v>0</v>
      </c>
      <c r="X29" s="88">
        <f>IF($R29="",0,ROUND($R29*IF($M29&gt;=35,Таблица!$O$44,Таблица!$O$36)*(1+$K$55),2))</f>
        <v>0</v>
      </c>
      <c r="Y29" s="88">
        <f>IF($R29="",0,ROUND($R29*IF($M29&gt;=35,Таблица!$O$45,Таблица!$O$37)*IF($M$12,0.8,1)*(1+$K$55),2))</f>
        <v>0</v>
      </c>
      <c r="Z29" s="88">
        <f>IF($R29="",0,ROUND($R29*IF($M29&gt;=35,Таблица!$O$46,Таблица!$O$38)*(1+$K$55),2))</f>
        <v>0</v>
      </c>
      <c r="AA29" s="88">
        <f>IF($R29="",0,ROUND($R29*IF($M29&gt;=35,Таблица!$O$47,Таблица!$O$39)*(1+$K$55),2))</f>
        <v>0</v>
      </c>
      <c r="AB29" s="88">
        <f>IF($R29="",0,ROUND($R29*IF($M29&gt;=35,Таблица!$O$48,Таблица!$O$40)*(1+$K$55),2))</f>
        <v>0</v>
      </c>
      <c r="AC29" s="139">
        <f t="shared" si="1"/>
        <v>0</v>
      </c>
      <c r="AD29" s="89"/>
      <c r="AE29" s="85"/>
      <c r="AF29" s="85"/>
    </row>
    <row r="30" spans="1:32" s="60" customFormat="1" x14ac:dyDescent="0.2">
      <c r="A30" s="125" t="str">
        <f>IF(C30="","",MAX(A$20:A29)+1)</f>
        <v/>
      </c>
      <c r="B30" s="56" t="str">
        <f>IFERROR(VLOOKUP($C30,Таблица!$B$6:$E$81,2,FALSE),"")</f>
        <v/>
      </c>
      <c r="C30" s="48"/>
      <c r="D30" s="48"/>
      <c r="E30" s="50"/>
      <c r="F30" s="50"/>
      <c r="G30" s="50"/>
      <c r="H30" s="50"/>
      <c r="I30" s="56" t="str">
        <f t="shared" si="6"/>
        <v/>
      </c>
      <c r="J30" s="56" t="str">
        <f t="shared" si="5"/>
        <v/>
      </c>
      <c r="K30" s="51"/>
      <c r="L30" s="56">
        <f>IFERROR(VLOOKUP($C30,Таблица!$B$6:$K$81,3,FALSE),0)</f>
        <v>0</v>
      </c>
      <c r="M30" s="56" t="str">
        <f>IFERROR(VLOOKUP($C30,Таблица!$B$6:$F$81,5,FALSE),"")</f>
        <v/>
      </c>
      <c r="N30" s="56" t="str">
        <f>IFERROR(VLOOKUP($C30,Таблица!$B$6:$E$81,4,FALSE),"")</f>
        <v/>
      </c>
      <c r="O30" s="56">
        <f t="shared" si="7"/>
        <v>1</v>
      </c>
      <c r="P30" s="51"/>
      <c r="Q30" s="11" t="str">
        <f>IF(OR(AND(ISERROR(VLOOKUP($C30,Таблица!$B$6:$E$81,2,FALSE)),$C30&lt;&gt;""),P30&lt;&gt;""),"V","")</f>
        <v/>
      </c>
      <c r="R30" s="249">
        <f t="shared" si="3"/>
        <v>0</v>
      </c>
      <c r="S30" s="62">
        <f>ROUND(IFERROR(VLOOKUP($C30,Таблица!$B$6:$K$81,6,FALSE),80)/100*$AC30,2)</f>
        <v>0</v>
      </c>
      <c r="T30" s="62">
        <f>ROUND(IFERROR(VLOOKUP($C30,Таблица!$B$6:$K$81,7,FALSE),4)/100*$AC30,2)</f>
        <v>0</v>
      </c>
      <c r="U30" s="84">
        <f>ROUND(IFERROR(VLOOKUP($C30,Таблица!$B$6:$K$81,8,FALSE),0)/100*$AC30,2)</f>
        <v>0</v>
      </c>
      <c r="V30" s="84">
        <f>ROUND(IFERROR(VLOOKUP($C30,Таблица!$B$6:$K$81,9,FALSE),7)/100*$AC30,2)</f>
        <v>0</v>
      </c>
      <c r="W30" s="84">
        <f>ROUND(IFERROR(VLOOKUP($C30,Таблица!$B$6:$K$81,10,FALSE),9)/100*$AC30,2)</f>
        <v>0</v>
      </c>
      <c r="X30" s="88">
        <f>IF($R30="",0,ROUND($R30*IF($M30&gt;=35,Таблица!$O$44,Таблица!$O$36)*(1+$K$55),2))</f>
        <v>0</v>
      </c>
      <c r="Y30" s="88">
        <f>IF($R30="",0,ROUND($R30*IF($M30&gt;=35,Таблица!$O$45,Таблица!$O$37)*IF($M$12,0.8,1)*(1+$K$55),2))</f>
        <v>0</v>
      </c>
      <c r="Z30" s="88">
        <f>IF($R30="",0,ROUND($R30*IF($M30&gt;=35,Таблица!$O$46,Таблица!$O$38)*(1+$K$55),2))</f>
        <v>0</v>
      </c>
      <c r="AA30" s="88">
        <f>IF($R30="",0,ROUND($R30*IF($M30&gt;=35,Таблица!$O$47,Таблица!$O$39)*(1+$K$55),2))</f>
        <v>0</v>
      </c>
      <c r="AB30" s="88">
        <f>IF($R30="",0,ROUND($R30*IF($M30&gt;=35,Таблица!$O$48,Таблица!$O$40)*(1+$K$55),2))</f>
        <v>0</v>
      </c>
      <c r="AC30" s="139">
        <f t="shared" si="1"/>
        <v>0</v>
      </c>
      <c r="AD30" s="89"/>
      <c r="AE30" s="85"/>
      <c r="AF30" s="85"/>
    </row>
    <row r="31" spans="1:32" s="60" customFormat="1" x14ac:dyDescent="0.2">
      <c r="A31" s="125" t="str">
        <f>IF(C31="","",MAX(A$20:A30)+1)</f>
        <v/>
      </c>
      <c r="B31" s="56" t="str">
        <f>IFERROR(VLOOKUP($C31,Таблица!$B$6:$E$81,2,FALSE),"")</f>
        <v/>
      </c>
      <c r="C31" s="48"/>
      <c r="D31" s="48"/>
      <c r="E31" s="50"/>
      <c r="F31" s="50"/>
      <c r="G31" s="50"/>
      <c r="H31" s="50"/>
      <c r="I31" s="56" t="str">
        <f t="shared" si="6"/>
        <v/>
      </c>
      <c r="J31" s="56" t="str">
        <f t="shared" si="5"/>
        <v/>
      </c>
      <c r="K31" s="51"/>
      <c r="L31" s="56">
        <f>IFERROR(VLOOKUP($C31,Таблица!$B$6:$K$81,3,FALSE),0)</f>
        <v>0</v>
      </c>
      <c r="M31" s="56" t="str">
        <f>IFERROR(VLOOKUP($C31,Таблица!$B$6:$F$81,5,FALSE),"")</f>
        <v/>
      </c>
      <c r="N31" s="56" t="str">
        <f>IFERROR(VLOOKUP($C31,Таблица!$B$6:$E$81,4,FALSE),"")</f>
        <v/>
      </c>
      <c r="O31" s="56">
        <f t="shared" si="7"/>
        <v>1</v>
      </c>
      <c r="P31" s="51"/>
      <c r="Q31" s="11" t="str">
        <f>IF(OR(AND(ISERROR(VLOOKUP($C31,Таблица!$B$6:$E$81,2,FALSE)),$C31&lt;&gt;""),P31&lt;&gt;""),"V","")</f>
        <v/>
      </c>
      <c r="R31" s="249">
        <f t="shared" si="3"/>
        <v>0</v>
      </c>
      <c r="S31" s="62">
        <f>ROUND(IFERROR(VLOOKUP($C31,Таблица!$B$6:$K$81,6,FALSE),80)/100*$AC31,2)</f>
        <v>0</v>
      </c>
      <c r="T31" s="62">
        <f>ROUND(IFERROR(VLOOKUP($C31,Таблица!$B$6:$K$81,7,FALSE),4)/100*$AC31,2)</f>
        <v>0</v>
      </c>
      <c r="U31" s="84">
        <f>ROUND(IFERROR(VLOOKUP($C31,Таблица!$B$6:$K$81,8,FALSE),0)/100*$AC31,2)</f>
        <v>0</v>
      </c>
      <c r="V31" s="84">
        <f>ROUND(IFERROR(VLOOKUP($C31,Таблица!$B$6:$K$81,9,FALSE),7)/100*$AC31,2)</f>
        <v>0</v>
      </c>
      <c r="W31" s="84">
        <f>ROUND(IFERROR(VLOOKUP($C31,Таблица!$B$6:$K$81,10,FALSE),9)/100*$AC31,2)</f>
        <v>0</v>
      </c>
      <c r="X31" s="88">
        <f>IF($R31="",0,ROUND($R31*IF($M31&gt;=35,Таблица!$O$44,Таблица!$O$36)*(1+$K$55),2))</f>
        <v>0</v>
      </c>
      <c r="Y31" s="88">
        <f>IF($R31="",0,ROUND($R31*IF($M31&gt;=35,Таблица!$O$45,Таблица!$O$37)*IF($M$12,0.8,1)*(1+$K$55),2))</f>
        <v>0</v>
      </c>
      <c r="Z31" s="88">
        <f>IF($R31="",0,ROUND($R31*IF($M31&gt;=35,Таблица!$O$46,Таблица!$O$38)*(1+$K$55),2))</f>
        <v>0</v>
      </c>
      <c r="AA31" s="88">
        <f>IF($R31="",0,ROUND($R31*IF($M31&gt;=35,Таблица!$O$47,Таблица!$O$39)*(1+$K$55),2))</f>
        <v>0</v>
      </c>
      <c r="AB31" s="88">
        <f>IF($R31="",0,ROUND($R31*IF($M31&gt;=35,Таблица!$O$48,Таблица!$O$40)*(1+$K$55),2))</f>
        <v>0</v>
      </c>
      <c r="AC31" s="139">
        <f t="shared" si="1"/>
        <v>0</v>
      </c>
      <c r="AD31" s="89"/>
      <c r="AE31" s="85"/>
      <c r="AF31" s="85"/>
    </row>
    <row r="32" spans="1:32" s="60" customFormat="1" x14ac:dyDescent="0.2">
      <c r="A32" s="125" t="str">
        <f>IF(C32="","",MAX(A$20:A31)+1)</f>
        <v/>
      </c>
      <c r="B32" s="56" t="str">
        <f>IFERROR(VLOOKUP($C32,Таблица!$B$6:$E$81,2,FALSE),"")</f>
        <v/>
      </c>
      <c r="C32" s="48"/>
      <c r="D32" s="48"/>
      <c r="E32" s="50"/>
      <c r="F32" s="50"/>
      <c r="G32" s="50"/>
      <c r="H32" s="50"/>
      <c r="I32" s="56" t="str">
        <f t="shared" ref="I32:I34" si="8">IF(AND(K32&lt;0.1,K32&gt;0),1.35,"")</f>
        <v/>
      </c>
      <c r="J32" s="56" t="str">
        <f t="shared" si="5"/>
        <v/>
      </c>
      <c r="K32" s="51"/>
      <c r="L32" s="56">
        <f>IFERROR(VLOOKUP($C32,Таблица!$B$6:$K$81,3,FALSE),0)</f>
        <v>0</v>
      </c>
      <c r="M32" s="56" t="str">
        <f>IFERROR(VLOOKUP($C32,Таблица!$B$6:$F$81,5,FALSE),"")</f>
        <v/>
      </c>
      <c r="N32" s="56" t="str">
        <f>IFERROR(VLOOKUP($C32,Таблица!$B$6:$E$81,4,FALSE),"")</f>
        <v/>
      </c>
      <c r="O32" s="56">
        <f t="shared" ref="O32:O34" si="9">IF(E32="",1,E32)*IF(F32="",1,F32)*IF(G32="",1,G32)*IF(H32="",1,H32)*IF(I32="",1,I32)</f>
        <v>1</v>
      </c>
      <c r="P32" s="51"/>
      <c r="Q32" s="11" t="str">
        <f>IF(OR(AND(ISERROR(VLOOKUP($C32,Таблица!$B$6:$E$81,2,FALSE)),$C32&lt;&gt;""),P32&lt;&gt;""),"V","")</f>
        <v/>
      </c>
      <c r="R32" s="249">
        <f t="shared" si="3"/>
        <v>0</v>
      </c>
      <c r="S32" s="62">
        <f>ROUND(IFERROR(VLOOKUP($C32,Таблица!$B$6:$K$81,6,FALSE),80)/100*$AC32,2)</f>
        <v>0</v>
      </c>
      <c r="T32" s="62">
        <f>ROUND(IFERROR(VLOOKUP($C32,Таблица!$B$6:$K$81,7,FALSE),4)/100*$AC32,2)</f>
        <v>0</v>
      </c>
      <c r="U32" s="84">
        <f>ROUND(IFERROR(VLOOKUP($C32,Таблица!$B$6:$K$81,8,FALSE),0)/100*$AC32,2)</f>
        <v>0</v>
      </c>
      <c r="V32" s="84">
        <f>ROUND(IFERROR(VLOOKUP($C32,Таблица!$B$6:$K$81,9,FALSE),7)/100*$AC32,2)</f>
        <v>0</v>
      </c>
      <c r="W32" s="84">
        <f>ROUND(IFERROR(VLOOKUP($C32,Таблица!$B$6:$K$81,10,FALSE),9)/100*$AC32,2)</f>
        <v>0</v>
      </c>
      <c r="X32" s="88">
        <f>IF($R32="",0,ROUND($R32*IF($M32&gt;=35,Таблица!$O$44,Таблица!$O$36)*(1+$K$55),2))</f>
        <v>0</v>
      </c>
      <c r="Y32" s="88">
        <f>IF($R32="",0,ROUND($R32*IF($M32&gt;=35,Таблица!$O$45,Таблица!$O$37)*IF($M$12,0.8,1)*(1+$K$55),2))</f>
        <v>0</v>
      </c>
      <c r="Z32" s="88">
        <f>IF($R32="",0,ROUND($R32*IF($M32&gt;=35,Таблица!$O$46,Таблица!$O$38)*(1+$K$55),2))</f>
        <v>0</v>
      </c>
      <c r="AA32" s="88">
        <f>IF($R32="",0,ROUND($R32*IF($M32&gt;=35,Таблица!$O$47,Таблица!$O$39)*(1+$K$55),2))</f>
        <v>0</v>
      </c>
      <c r="AB32" s="88">
        <f>IF($R32="",0,ROUND($R32*IF($M32&gt;=35,Таблица!$O$48,Таблица!$O$40)*(1+$K$55),2))</f>
        <v>0</v>
      </c>
      <c r="AC32" s="139">
        <f t="shared" si="1"/>
        <v>0</v>
      </c>
      <c r="AD32" s="89"/>
      <c r="AE32" s="85"/>
      <c r="AF32" s="85"/>
    </row>
    <row r="33" spans="1:32" s="60" customFormat="1" x14ac:dyDescent="0.2">
      <c r="A33" s="125" t="str">
        <f>IF(C33="","",MAX(A$20:A32)+1)</f>
        <v/>
      </c>
      <c r="B33" s="56" t="str">
        <f>IFERROR(VLOOKUP($C33,Таблица!$B$6:$E$81,2,FALSE),"")</f>
        <v/>
      </c>
      <c r="C33" s="48"/>
      <c r="D33" s="48"/>
      <c r="E33" s="50"/>
      <c r="F33" s="50"/>
      <c r="G33" s="50"/>
      <c r="H33" s="50"/>
      <c r="I33" s="56" t="str">
        <f t="shared" si="8"/>
        <v/>
      </c>
      <c r="J33" s="56" t="str">
        <f t="shared" si="5"/>
        <v/>
      </c>
      <c r="K33" s="51"/>
      <c r="L33" s="56">
        <f>IFERROR(VLOOKUP($C33,Таблица!$B$6:$K$81,3,FALSE),0)</f>
        <v>0</v>
      </c>
      <c r="M33" s="56" t="str">
        <f>IFERROR(VLOOKUP($C33,Таблица!$B$6:$F$81,5,FALSE),"")</f>
        <v/>
      </c>
      <c r="N33" s="56" t="str">
        <f>IFERROR(VLOOKUP($C33,Таблица!$B$6:$E$81,4,FALSE),"")</f>
        <v/>
      </c>
      <c r="O33" s="56">
        <f t="shared" si="9"/>
        <v>1</v>
      </c>
      <c r="P33" s="51"/>
      <c r="Q33" s="11" t="str">
        <f>IF(OR(AND(ISERROR(VLOOKUP($C33,Таблица!$B$6:$E$81,2,FALSE)),$C33&lt;&gt;""),P33&lt;&gt;""),"V","")</f>
        <v/>
      </c>
      <c r="R33" s="249">
        <f t="shared" si="3"/>
        <v>0</v>
      </c>
      <c r="S33" s="62">
        <f>ROUND(IFERROR(VLOOKUP($C33,Таблица!$B$6:$K$81,6,FALSE),80)/100*$AC33,2)</f>
        <v>0</v>
      </c>
      <c r="T33" s="62">
        <f>ROUND(IFERROR(VLOOKUP($C33,Таблица!$B$6:$K$81,7,FALSE),4)/100*$AC33,2)</f>
        <v>0</v>
      </c>
      <c r="U33" s="84">
        <f>ROUND(IFERROR(VLOOKUP($C33,Таблица!$B$6:$K$81,8,FALSE),0)/100*$AC33,2)</f>
        <v>0</v>
      </c>
      <c r="V33" s="84">
        <f>ROUND(IFERROR(VLOOKUP($C33,Таблица!$B$6:$K$81,9,FALSE),7)/100*$AC33,2)</f>
        <v>0</v>
      </c>
      <c r="W33" s="84">
        <f>ROUND(IFERROR(VLOOKUP($C33,Таблица!$B$6:$K$81,10,FALSE),9)/100*$AC33,2)</f>
        <v>0</v>
      </c>
      <c r="X33" s="88">
        <f>IF($R33="",0,ROUND($R33*IF($M33&gt;=35,Таблица!$O$44,Таблица!$O$36)*(1+$K$55),2))</f>
        <v>0</v>
      </c>
      <c r="Y33" s="88">
        <f>IF($R33="",0,ROUND($R33*IF($M33&gt;=35,Таблица!$O$45,Таблица!$O$37)*IF($M$12,0.8,1)*(1+$K$55),2))</f>
        <v>0</v>
      </c>
      <c r="Z33" s="88">
        <f>IF($R33="",0,ROUND($R33*IF($M33&gt;=35,Таблица!$O$46,Таблица!$O$38)*(1+$K$55),2))</f>
        <v>0</v>
      </c>
      <c r="AA33" s="88">
        <f>IF($R33="",0,ROUND($R33*IF($M33&gt;=35,Таблица!$O$47,Таблица!$O$39)*(1+$K$55),2))</f>
        <v>0</v>
      </c>
      <c r="AB33" s="88">
        <f>IF($R33="",0,ROUND($R33*IF($M33&gt;=35,Таблица!$O$48,Таблица!$O$40)*(1+$K$55),2))</f>
        <v>0</v>
      </c>
      <c r="AC33" s="139">
        <f t="shared" si="1"/>
        <v>0</v>
      </c>
      <c r="AD33" s="89"/>
      <c r="AE33" s="85"/>
      <c r="AF33" s="85"/>
    </row>
    <row r="34" spans="1:32" s="60" customFormat="1" x14ac:dyDescent="0.2">
      <c r="A34" s="125" t="str">
        <f>IF(C34="","",MAX(A$20:A33)+1)</f>
        <v/>
      </c>
      <c r="B34" s="56" t="str">
        <f>IFERROR(VLOOKUP($C34,Таблица!$B$6:$E$81,2,FALSE),"")</f>
        <v/>
      </c>
      <c r="C34" s="48"/>
      <c r="D34" s="48"/>
      <c r="E34" s="50"/>
      <c r="F34" s="50"/>
      <c r="G34" s="50"/>
      <c r="H34" s="50"/>
      <c r="I34" s="56" t="str">
        <f t="shared" si="8"/>
        <v/>
      </c>
      <c r="J34" s="56" t="str">
        <f t="shared" si="5"/>
        <v/>
      </c>
      <c r="K34" s="51"/>
      <c r="L34" s="56">
        <f>IFERROR(VLOOKUP($C34,Таблица!$B$6:$K$81,3,FALSE),0)</f>
        <v>0</v>
      </c>
      <c r="M34" s="56" t="str">
        <f>IFERROR(VLOOKUP($C34,Таблица!$B$6:$F$81,5,FALSE),"")</f>
        <v/>
      </c>
      <c r="N34" s="56" t="str">
        <f>IFERROR(VLOOKUP($C34,Таблица!$B$6:$E$81,4,FALSE),"")</f>
        <v/>
      </c>
      <c r="O34" s="56">
        <f t="shared" si="9"/>
        <v>1</v>
      </c>
      <c r="P34" s="51"/>
      <c r="Q34" s="11" t="str">
        <f>IF(OR(AND(ISERROR(VLOOKUP($C34,Таблица!$B$6:$E$81,2,FALSE)),$C34&lt;&gt;""),P34&lt;&gt;""),"V","")</f>
        <v/>
      </c>
      <c r="R34" s="249">
        <f t="shared" si="3"/>
        <v>0</v>
      </c>
      <c r="S34" s="62">
        <f>ROUND(IFERROR(VLOOKUP($C34,Таблица!$B$6:$K$81,6,FALSE),80)/100*$AC34,2)</f>
        <v>0</v>
      </c>
      <c r="T34" s="62">
        <f>ROUND(IFERROR(VLOOKUP($C34,Таблица!$B$6:$K$81,7,FALSE),4)/100*$AC34,2)</f>
        <v>0</v>
      </c>
      <c r="U34" s="84">
        <f>ROUND(IFERROR(VLOOKUP($C34,Таблица!$B$6:$K$81,8,FALSE),0)/100*$AC34,2)</f>
        <v>0</v>
      </c>
      <c r="V34" s="84">
        <f>ROUND(IFERROR(VLOOKUP($C34,Таблица!$B$6:$K$81,9,FALSE),7)/100*$AC34,2)</f>
        <v>0</v>
      </c>
      <c r="W34" s="84">
        <f>ROUND(IFERROR(VLOOKUP($C34,Таблица!$B$6:$K$81,10,FALSE),9)/100*$AC34,2)</f>
        <v>0</v>
      </c>
      <c r="X34" s="88">
        <f>IF($R34="",0,ROUND($R34*IF($M34&gt;=35,Таблица!$O$44,Таблица!$O$36)*(1+$K$55),2))</f>
        <v>0</v>
      </c>
      <c r="Y34" s="88">
        <f>IF($R34="",0,ROUND($R34*IF($M34&gt;=35,Таблица!$O$45,Таблица!$O$37)*IF($M$12,0.8,1)*(1+$K$55),2))</f>
        <v>0</v>
      </c>
      <c r="Z34" s="88">
        <f>IF($R34="",0,ROUND($R34*IF($M34&gt;=35,Таблица!$O$46,Таблица!$O$38)*(1+$K$55),2))</f>
        <v>0</v>
      </c>
      <c r="AA34" s="88">
        <f>IF($R34="",0,ROUND($R34*IF($M34&gt;=35,Таблица!$O$47,Таблица!$O$39)*(1+$K$55),2))</f>
        <v>0</v>
      </c>
      <c r="AB34" s="88">
        <f>IF($R34="",0,ROUND($R34*IF($M34&gt;=35,Таблица!$O$48,Таблица!$O$40)*(1+$K$55),2))</f>
        <v>0</v>
      </c>
      <c r="AC34" s="139">
        <f t="shared" si="1"/>
        <v>0</v>
      </c>
      <c r="AD34" s="89"/>
      <c r="AE34" s="85"/>
      <c r="AF34" s="85"/>
    </row>
    <row r="35" spans="1:32" s="60" customFormat="1" x14ac:dyDescent="0.2">
      <c r="A35" s="125" t="str">
        <f>IF(C35="","",MAX(A$20:A34)+1)</f>
        <v/>
      </c>
      <c r="B35" s="56" t="str">
        <f>IFERROR(VLOOKUP($C35,Таблица!$B$6:$E$81,2,FALSE),"")</f>
        <v/>
      </c>
      <c r="C35" s="48"/>
      <c r="D35" s="48"/>
      <c r="E35" s="50"/>
      <c r="F35" s="50"/>
      <c r="G35" s="50"/>
      <c r="H35" s="50"/>
      <c r="I35" s="56" t="str">
        <f t="shared" si="6"/>
        <v/>
      </c>
      <c r="J35" s="56" t="str">
        <f t="shared" si="5"/>
        <v/>
      </c>
      <c r="K35" s="51"/>
      <c r="L35" s="56">
        <f>IFERROR(VLOOKUP($C35,Таблица!$B$6:$K$81,3,FALSE),0)</f>
        <v>0</v>
      </c>
      <c r="M35" s="56" t="str">
        <f>IFERROR(VLOOKUP($C35,Таблица!$B$6:$F$81,5,FALSE),"")</f>
        <v/>
      </c>
      <c r="N35" s="56" t="str">
        <f>IFERROR(VLOOKUP($C35,Таблица!$B$6:$E$81,4,FALSE),"")</f>
        <v/>
      </c>
      <c r="O35" s="56">
        <f t="shared" si="7"/>
        <v>1</v>
      </c>
      <c r="P35" s="51"/>
      <c r="Q35" s="11" t="str">
        <f>IF(OR(AND(ISERROR(VLOOKUP($C35,Таблица!$B$6:$E$81,2,FALSE)),$C35&lt;&gt;""),P35&lt;&gt;""),"V","")</f>
        <v/>
      </c>
      <c r="R35" s="249">
        <f t="shared" si="3"/>
        <v>0</v>
      </c>
      <c r="S35" s="62">
        <f>ROUND(IFERROR(VLOOKUP($C35,Таблица!$B$6:$K$81,6,FALSE),80)/100*$AC35,2)</f>
        <v>0</v>
      </c>
      <c r="T35" s="62">
        <f>ROUND(IFERROR(VLOOKUP($C35,Таблица!$B$6:$K$81,7,FALSE),4)/100*$AC35,2)</f>
        <v>0</v>
      </c>
      <c r="U35" s="84">
        <f>ROUND(IFERROR(VLOOKUP($C35,Таблица!$B$6:$K$81,8,FALSE),0)/100*$AC35,2)</f>
        <v>0</v>
      </c>
      <c r="V35" s="84">
        <f>ROUND(IFERROR(VLOOKUP($C35,Таблица!$B$6:$K$81,9,FALSE),7)/100*$AC35,2)</f>
        <v>0</v>
      </c>
      <c r="W35" s="84">
        <f>ROUND(IFERROR(VLOOKUP($C35,Таблица!$B$6:$K$81,10,FALSE),9)/100*$AC35,2)</f>
        <v>0</v>
      </c>
      <c r="X35" s="88">
        <f>IF($R35="",0,ROUND($R35*IF($M35&gt;=35,Таблица!$O$44,Таблица!$O$36)*(1+$K$55),2))</f>
        <v>0</v>
      </c>
      <c r="Y35" s="88">
        <f>IF($R35="",0,ROUND($R35*IF($M35&gt;=35,Таблица!$O$45,Таблица!$O$37)*IF($M$12,0.8,1)*(1+$K$55),2))</f>
        <v>0</v>
      </c>
      <c r="Z35" s="88">
        <f>IF($R35="",0,ROUND($R35*IF($M35&gt;=35,Таблица!$O$46,Таблица!$O$38)*(1+$K$55),2))</f>
        <v>0</v>
      </c>
      <c r="AA35" s="88">
        <f>IF($R35="",0,ROUND($R35*IF($M35&gt;=35,Таблица!$O$47,Таблица!$O$39)*(1+$K$55),2))</f>
        <v>0</v>
      </c>
      <c r="AB35" s="88">
        <f>IF($R35="",0,ROUND($R35*IF($M35&gt;=35,Таблица!$O$48,Таблица!$O$40)*(1+$K$55),2))</f>
        <v>0</v>
      </c>
      <c r="AC35" s="139">
        <f t="shared" si="1"/>
        <v>0</v>
      </c>
      <c r="AD35" s="89"/>
      <c r="AE35" s="85"/>
      <c r="AF35" s="85"/>
    </row>
    <row r="36" spans="1:32" s="60" customFormat="1" x14ac:dyDescent="0.2">
      <c r="A36" s="125" t="str">
        <f>IF(C36="","",MAX(A$20:A35)+1)</f>
        <v/>
      </c>
      <c r="B36" s="56" t="str">
        <f>IFERROR(VLOOKUP($C36,Таблица!$B$6:$E$81,2,FALSE),"")</f>
        <v/>
      </c>
      <c r="C36" s="48"/>
      <c r="D36" s="48"/>
      <c r="E36" s="50"/>
      <c r="F36" s="50"/>
      <c r="G36" s="50"/>
      <c r="H36" s="50"/>
      <c r="I36" s="56" t="str">
        <f t="shared" si="6"/>
        <v/>
      </c>
      <c r="J36" s="56" t="str">
        <f t="shared" si="5"/>
        <v/>
      </c>
      <c r="K36" s="51"/>
      <c r="L36" s="56">
        <f>IFERROR(VLOOKUP($C36,Таблица!$B$6:$K$81,3,FALSE),0)</f>
        <v>0</v>
      </c>
      <c r="M36" s="56" t="str">
        <f>IFERROR(VLOOKUP($C36,Таблица!$B$6:$F$81,5,FALSE),"")</f>
        <v/>
      </c>
      <c r="N36" s="56" t="str">
        <f>IFERROR(VLOOKUP($C36,Таблица!$B$6:$E$81,4,FALSE),"")</f>
        <v/>
      </c>
      <c r="O36" s="56">
        <f t="shared" si="7"/>
        <v>1</v>
      </c>
      <c r="P36" s="51"/>
      <c r="Q36" s="11" t="str">
        <f>IF(OR(AND(ISERROR(VLOOKUP($C36,Таблица!$B$6:$E$81,2,FALSE)),$C36&lt;&gt;""),P36&lt;&gt;""),"V","")</f>
        <v/>
      </c>
      <c r="R36" s="249">
        <f t="shared" si="3"/>
        <v>0</v>
      </c>
      <c r="S36" s="62">
        <f>ROUND(IFERROR(VLOOKUP($C36,Таблица!$B$6:$K$81,6,FALSE),80)/100*$AC36,2)</f>
        <v>0</v>
      </c>
      <c r="T36" s="62">
        <f>ROUND(IFERROR(VLOOKUP($C36,Таблица!$B$6:$K$81,7,FALSE),4)/100*$AC36,2)</f>
        <v>0</v>
      </c>
      <c r="U36" s="84">
        <f>ROUND(IFERROR(VLOOKUP($C36,Таблица!$B$6:$K$81,8,FALSE),0)/100*$AC36,2)</f>
        <v>0</v>
      </c>
      <c r="V36" s="84">
        <f>ROUND(IFERROR(VLOOKUP($C36,Таблица!$B$6:$K$81,9,FALSE),7)/100*$AC36,2)</f>
        <v>0</v>
      </c>
      <c r="W36" s="84">
        <f>ROUND(IFERROR(VLOOKUP($C36,Таблица!$B$6:$K$81,10,FALSE),9)/100*$AC36,2)</f>
        <v>0</v>
      </c>
      <c r="X36" s="88">
        <f>IF($R36="",0,ROUND($R36*IF($M36&gt;=35,Таблица!$O$44,Таблица!$O$36)*(1+$K$55),2))</f>
        <v>0</v>
      </c>
      <c r="Y36" s="88">
        <f>IF($R36="",0,ROUND($R36*IF($M36&gt;=35,Таблица!$O$45,Таблица!$O$37)*IF($M$12,0.8,1)*(1+$K$55),2))</f>
        <v>0</v>
      </c>
      <c r="Z36" s="88">
        <f>IF($R36="",0,ROUND($R36*IF($M36&gt;=35,Таблица!$O$46,Таблица!$O$38)*(1+$K$55),2))</f>
        <v>0</v>
      </c>
      <c r="AA36" s="88">
        <f>IF($R36="",0,ROUND($R36*IF($M36&gt;=35,Таблица!$O$47,Таблица!$O$39)*(1+$K$55),2))</f>
        <v>0</v>
      </c>
      <c r="AB36" s="88">
        <f>IF($R36="",0,ROUND($R36*IF($M36&gt;=35,Таблица!$O$48,Таблица!$O$40)*(1+$K$55),2))</f>
        <v>0</v>
      </c>
      <c r="AC36" s="139">
        <f t="shared" si="1"/>
        <v>0</v>
      </c>
      <c r="AD36" s="89"/>
      <c r="AE36" s="85"/>
      <c r="AF36" s="85"/>
    </row>
    <row r="37" spans="1:32" x14ac:dyDescent="0.2">
      <c r="A37" s="125" t="str">
        <f>IF(C37="","",MAX(A$20:A36)+1)</f>
        <v/>
      </c>
      <c r="B37" s="1" t="str">
        <f>IFERROR(VLOOKUP($C37,Таблица!$B$6:$E$81,2,FALSE),"")</f>
        <v/>
      </c>
      <c r="C37" s="31"/>
      <c r="D37" s="31"/>
      <c r="E37" s="32"/>
      <c r="F37" s="32"/>
      <c r="G37" s="32"/>
      <c r="H37" s="32"/>
      <c r="I37" s="1" t="str">
        <f t="shared" si="4"/>
        <v/>
      </c>
      <c r="J37" s="1" t="str">
        <f t="shared" si="5"/>
        <v/>
      </c>
      <c r="K37" s="42"/>
      <c r="L37" s="1">
        <f>IFERROR(VLOOKUP($C37,Таблица!$B$6:$K$81,3,FALSE),0)</f>
        <v>0</v>
      </c>
      <c r="M37" s="56" t="str">
        <f>IFERROR(VLOOKUP($C37,Таблица!$B$6:$F$81,5,FALSE),"")</f>
        <v/>
      </c>
      <c r="N37" s="1" t="str">
        <f>IFERROR(VLOOKUP($C37,Таблица!$B$6:$E$81,4,FALSE),"")</f>
        <v/>
      </c>
      <c r="O37" s="56">
        <f t="shared" si="2"/>
        <v>1</v>
      </c>
      <c r="P37" s="42"/>
      <c r="Q37" s="11" t="str">
        <f>IF(OR(AND(ISERROR(VLOOKUP($C37,Таблица!$B$6:$E$81,2,FALSE)),$C37&lt;&gt;""),P37&lt;&gt;""),"V","")</f>
        <v/>
      </c>
      <c r="R37" s="249">
        <f t="shared" si="3"/>
        <v>0</v>
      </c>
      <c r="S37" s="62">
        <f>ROUND(IFERROR(VLOOKUP($C37,Таблица!$B$6:$K$81,6,FALSE),80)/100*$AC37,2)</f>
        <v>0</v>
      </c>
      <c r="T37" s="62">
        <f>ROUND(IFERROR(VLOOKUP($C37,Таблица!$B$6:$K$81,7,FALSE),4)/100*$AC37,2)</f>
        <v>0</v>
      </c>
      <c r="U37" s="84">
        <f>ROUND(IFERROR(VLOOKUP($C37,Таблица!$B$6:$K$81,8,FALSE),0)/100*$AC37,2)</f>
        <v>0</v>
      </c>
      <c r="V37" s="84">
        <f>ROUND(IFERROR(VLOOKUP($C37,Таблица!$B$6:$K$81,9,FALSE),7)/100*$AC37,2)</f>
        <v>0</v>
      </c>
      <c r="W37" s="84">
        <f>ROUND(IFERROR(VLOOKUP($C37,Таблица!$B$6:$K$81,10,FALSE),9)/100*$AC37,2)</f>
        <v>0</v>
      </c>
      <c r="X37" s="88">
        <f>IF($R37="",0,ROUND($R37*IF($M37&gt;=35,Таблица!$O$44,Таблица!$O$36)*(1+$K$55),2))</f>
        <v>0</v>
      </c>
      <c r="Y37" s="88">
        <f>IF($R37="",0,ROUND($R37*IF($M37&gt;=35,Таблица!$O$45,Таблица!$O$37)*IF($M$12,0.8,1)*(1+$K$55),2))</f>
        <v>0</v>
      </c>
      <c r="Z37" s="88">
        <f>IF($R37="",0,ROUND($R37*IF($M37&gt;=35,Таблица!$O$46,Таблица!$O$38)*(1+$K$55),2))</f>
        <v>0</v>
      </c>
      <c r="AA37" s="88">
        <f>IF($R37="",0,ROUND($R37*IF($M37&gt;=35,Таблица!$O$47,Таблица!$O$39)*(1+$K$55),2))</f>
        <v>0</v>
      </c>
      <c r="AB37" s="88">
        <f>IF($R37="",0,ROUND($R37*IF($M37&gt;=35,Таблица!$O$48,Таблица!$O$40)*(1+$K$55),2))</f>
        <v>0</v>
      </c>
      <c r="AC37" s="139">
        <f t="shared" si="1"/>
        <v>0</v>
      </c>
      <c r="AE37" s="85"/>
      <c r="AF37" s="85"/>
    </row>
    <row r="38" spans="1:32" x14ac:dyDescent="0.2">
      <c r="A38" s="125" t="str">
        <f>IF(C38="","",MAX(A$20:A37)+1)</f>
        <v/>
      </c>
      <c r="B38" s="1" t="str">
        <f>IFERROR(VLOOKUP($C38,Таблица!$B$6:$E$81,2,FALSE),"")</f>
        <v/>
      </c>
      <c r="C38" s="31"/>
      <c r="D38" s="31"/>
      <c r="E38" s="32"/>
      <c r="F38" s="32"/>
      <c r="G38" s="32"/>
      <c r="H38" s="32"/>
      <c r="I38" s="1" t="str">
        <f t="shared" si="4"/>
        <v/>
      </c>
      <c r="J38" s="1" t="str">
        <f t="shared" si="5"/>
        <v/>
      </c>
      <c r="K38" s="42"/>
      <c r="L38" s="1">
        <f>IFERROR(VLOOKUP($C38,Таблица!$B$6:$K$81,3,FALSE),0)</f>
        <v>0</v>
      </c>
      <c r="M38" s="56" t="str">
        <f>IFERROR(VLOOKUP($C38,Таблица!$B$6:$F$81,5,FALSE),"")</f>
        <v/>
      </c>
      <c r="N38" s="1" t="str">
        <f>IFERROR(VLOOKUP($C38,Таблица!$B$6:$E$81,4,FALSE),"")</f>
        <v/>
      </c>
      <c r="O38" s="56">
        <f t="shared" si="2"/>
        <v>1</v>
      </c>
      <c r="P38" s="42"/>
      <c r="Q38" s="11" t="str">
        <f>IF(OR(AND(ISERROR(VLOOKUP($C38,Таблица!$B$6:$E$81,2,FALSE)),$C38&lt;&gt;""),P38&lt;&gt;""),"V","")</f>
        <v/>
      </c>
      <c r="R38" s="249">
        <f t="shared" si="3"/>
        <v>0</v>
      </c>
      <c r="S38" s="62">
        <f>ROUND(IFERROR(VLOOKUP($C38,Таблица!$B$6:$K$81,6,FALSE),80)/100*$AC38,2)</f>
        <v>0</v>
      </c>
      <c r="T38" s="62">
        <f>ROUND(IFERROR(VLOOKUP($C38,Таблица!$B$6:$K$81,7,FALSE),4)/100*$AC38,2)</f>
        <v>0</v>
      </c>
      <c r="U38" s="84">
        <f>ROUND(IFERROR(VLOOKUP($C38,Таблица!$B$6:$K$81,8,FALSE),0)/100*$AC38,2)</f>
        <v>0</v>
      </c>
      <c r="V38" s="84">
        <f>ROUND(IFERROR(VLOOKUP($C38,Таблица!$B$6:$K$81,9,FALSE),7)/100*$AC38,2)</f>
        <v>0</v>
      </c>
      <c r="W38" s="84">
        <f>ROUND(IFERROR(VLOOKUP($C38,Таблица!$B$6:$K$81,10,FALSE),9)/100*$AC38,2)</f>
        <v>0</v>
      </c>
      <c r="X38" s="88">
        <f>IF($R38="",0,ROUND($R38*IF($M38&gt;=35,Таблица!$O$44,Таблица!$O$36)*(1+$K$55),2))</f>
        <v>0</v>
      </c>
      <c r="Y38" s="88">
        <f>IF($R38="",0,ROUND($R38*IF($M38&gt;=35,Таблица!$O$45,Таблица!$O$37)*IF($M$12,0.8,1)*(1+$K$55),2))</f>
        <v>0</v>
      </c>
      <c r="Z38" s="88">
        <f>IF($R38="",0,ROUND($R38*IF($M38&gt;=35,Таблица!$O$46,Таблица!$O$38)*(1+$K$55),2))</f>
        <v>0</v>
      </c>
      <c r="AA38" s="88">
        <f>IF($R38="",0,ROUND($R38*IF($M38&gt;=35,Таблица!$O$47,Таблица!$O$39)*(1+$K$55),2))</f>
        <v>0</v>
      </c>
      <c r="AB38" s="88">
        <f>IF($R38="",0,ROUND($R38*IF($M38&gt;=35,Таблица!$O$48,Таблица!$O$40)*(1+$K$55),2))</f>
        <v>0</v>
      </c>
      <c r="AC38" s="139">
        <f t="shared" si="1"/>
        <v>0</v>
      </c>
      <c r="AE38" s="85"/>
      <c r="AF38" s="85"/>
    </row>
    <row r="39" spans="1:32" x14ac:dyDescent="0.2">
      <c r="A39" s="125" t="str">
        <f>IF(C39="","",MAX(A$20:A38)+1)</f>
        <v/>
      </c>
      <c r="B39" s="1" t="str">
        <f>IFERROR(VLOOKUP($C39,Таблица!$B$6:$E$81,2,FALSE),"")</f>
        <v/>
      </c>
      <c r="C39" s="31"/>
      <c r="D39" s="31"/>
      <c r="E39" s="32"/>
      <c r="F39" s="32"/>
      <c r="G39" s="32"/>
      <c r="H39" s="32"/>
      <c r="I39" s="1" t="str">
        <f t="shared" si="4"/>
        <v/>
      </c>
      <c r="J39" s="1" t="str">
        <f t="shared" si="5"/>
        <v/>
      </c>
      <c r="K39" s="42"/>
      <c r="L39" s="1">
        <f>IFERROR(VLOOKUP($C39,Таблица!$B$6:$K$81,3,FALSE),0)</f>
        <v>0</v>
      </c>
      <c r="M39" s="56" t="str">
        <f>IFERROR(VLOOKUP($C39,Таблица!$B$6:$F$81,5,FALSE),"")</f>
        <v/>
      </c>
      <c r="N39" s="1" t="str">
        <f>IFERROR(VLOOKUP($C39,Таблица!$B$6:$E$81,4,FALSE),"")</f>
        <v/>
      </c>
      <c r="O39" s="56">
        <f t="shared" si="2"/>
        <v>1</v>
      </c>
      <c r="P39" s="42"/>
      <c r="Q39" s="11" t="str">
        <f>IF(OR(AND(ISERROR(VLOOKUP($C39,Таблица!$B$6:$E$81,2,FALSE)),$C39&lt;&gt;""),P39&lt;&gt;""),"V","")</f>
        <v/>
      </c>
      <c r="R39" s="249">
        <f t="shared" si="3"/>
        <v>0</v>
      </c>
      <c r="S39" s="62">
        <f>ROUND(IFERROR(VLOOKUP($C39,Таблица!$B$6:$K$81,6,FALSE),80)/100*$AC39,2)</f>
        <v>0</v>
      </c>
      <c r="T39" s="62">
        <f>ROUND(IFERROR(VLOOKUP($C39,Таблица!$B$6:$K$81,7,FALSE),4)/100*$AC39,2)</f>
        <v>0</v>
      </c>
      <c r="U39" s="84">
        <f>ROUND(IFERROR(VLOOKUP($C39,Таблица!$B$6:$K$81,8,FALSE),0)/100*$AC39,2)</f>
        <v>0</v>
      </c>
      <c r="V39" s="84">
        <f>ROUND(IFERROR(VLOOKUP($C39,Таблица!$B$6:$K$81,9,FALSE),7)/100*$AC39,2)</f>
        <v>0</v>
      </c>
      <c r="W39" s="84">
        <f>ROUND(IFERROR(VLOOKUP($C39,Таблица!$B$6:$K$81,10,FALSE),9)/100*$AC39,2)</f>
        <v>0</v>
      </c>
      <c r="X39" s="88">
        <f>IF($R39="",0,ROUND($R39*IF($M39&gt;=35,Таблица!$O$44,Таблица!$O$36)*(1+$K$55),2))</f>
        <v>0</v>
      </c>
      <c r="Y39" s="88">
        <f>IF($R39="",0,ROUND($R39*IF($M39&gt;=35,Таблица!$O$45,Таблица!$O$37)*IF($M$12,0.8,1)*(1+$K$55),2))</f>
        <v>0</v>
      </c>
      <c r="Z39" s="88">
        <f>IF($R39="",0,ROUND($R39*IF($M39&gt;=35,Таблица!$O$46,Таблица!$O$38)*(1+$K$55),2))</f>
        <v>0</v>
      </c>
      <c r="AA39" s="88">
        <f>IF($R39="",0,ROUND($R39*IF($M39&gt;=35,Таблица!$O$47,Таблица!$O$39)*(1+$K$55),2))</f>
        <v>0</v>
      </c>
      <c r="AB39" s="88">
        <f>IF($R39="",0,ROUND($R39*IF($M39&gt;=35,Таблица!$O$48,Таблица!$O$40)*(1+$K$55),2))</f>
        <v>0</v>
      </c>
      <c r="AC39" s="139">
        <f t="shared" si="1"/>
        <v>0</v>
      </c>
      <c r="AE39" s="85"/>
      <c r="AF39" s="85"/>
    </row>
    <row r="40" spans="1:32" x14ac:dyDescent="0.2">
      <c r="A40" s="125" t="str">
        <f>IF(C40="","",MAX(A$20:A39)+1)</f>
        <v/>
      </c>
      <c r="B40" s="1" t="str">
        <f>IFERROR(VLOOKUP($C40,Таблица!$B$6:$E$81,2,FALSE),"")</f>
        <v/>
      </c>
      <c r="C40" s="31"/>
      <c r="D40" s="31"/>
      <c r="E40" s="32"/>
      <c r="F40" s="32"/>
      <c r="G40" s="32"/>
      <c r="H40" s="32"/>
      <c r="I40" s="1" t="str">
        <f t="shared" si="4"/>
        <v/>
      </c>
      <c r="J40" s="1" t="str">
        <f t="shared" si="5"/>
        <v/>
      </c>
      <c r="K40" s="42"/>
      <c r="L40" s="1">
        <f>IFERROR(VLOOKUP($C40,Таблица!$B$6:$K$81,3,FALSE),0)</f>
        <v>0</v>
      </c>
      <c r="M40" s="56" t="str">
        <f>IFERROR(VLOOKUP($C40,Таблица!$B$6:$F$81,5,FALSE),"")</f>
        <v/>
      </c>
      <c r="N40" s="1" t="str">
        <f>IFERROR(VLOOKUP($C40,Таблица!$B$6:$E$81,4,FALSE),"")</f>
        <v/>
      </c>
      <c r="O40" s="56">
        <f t="shared" si="2"/>
        <v>1</v>
      </c>
      <c r="P40" s="42"/>
      <c r="Q40" s="11" t="str">
        <f>IF(OR(AND(ISERROR(VLOOKUP($C40,Таблица!$B$6:$E$81,2,FALSE)),$C40&lt;&gt;""),P40&lt;&gt;""),"V","")</f>
        <v/>
      </c>
      <c r="R40" s="249">
        <f t="shared" si="3"/>
        <v>0</v>
      </c>
      <c r="S40" s="62">
        <f>ROUND(IFERROR(VLOOKUP($C40,Таблица!$B$6:$K$81,6,FALSE),80)/100*$AC40,2)</f>
        <v>0</v>
      </c>
      <c r="T40" s="62">
        <f>ROUND(IFERROR(VLOOKUP($C40,Таблица!$B$6:$K$81,7,FALSE),4)/100*$AC40,2)</f>
        <v>0</v>
      </c>
      <c r="U40" s="84">
        <f>ROUND(IFERROR(VLOOKUP($C40,Таблица!$B$6:$K$81,8,FALSE),0)/100*$AC40,2)</f>
        <v>0</v>
      </c>
      <c r="V40" s="84">
        <f>ROUND(IFERROR(VLOOKUP($C40,Таблица!$B$6:$K$81,9,FALSE),7)/100*$AC40,2)</f>
        <v>0</v>
      </c>
      <c r="W40" s="84">
        <f>ROUND(IFERROR(VLOOKUP($C40,Таблица!$B$6:$K$81,10,FALSE),9)/100*$AC40,2)</f>
        <v>0</v>
      </c>
      <c r="X40" s="88">
        <f>IF($R40="",0,ROUND($R40*IF($M40&gt;=35,Таблица!$O$44,Таблица!$O$36)*(1+$K$55),2))</f>
        <v>0</v>
      </c>
      <c r="Y40" s="88">
        <f>IF($R40="",0,ROUND($R40*IF($M40&gt;=35,Таблица!$O$45,Таблица!$O$37)*IF($M$12,0.8,1)*(1+$K$55),2))</f>
        <v>0</v>
      </c>
      <c r="Z40" s="88">
        <f>IF($R40="",0,ROUND($R40*IF($M40&gt;=35,Таблица!$O$46,Таблица!$O$38)*(1+$K$55),2))</f>
        <v>0</v>
      </c>
      <c r="AA40" s="88">
        <f>IF($R40="",0,ROUND($R40*IF($M40&gt;=35,Таблица!$O$47,Таблица!$O$39)*(1+$K$55),2))</f>
        <v>0</v>
      </c>
      <c r="AB40" s="88">
        <f>IF($R40="",0,ROUND($R40*IF($M40&gt;=35,Таблица!$O$48,Таблица!$O$40)*(1+$K$55),2))</f>
        <v>0</v>
      </c>
      <c r="AC40" s="139">
        <f t="shared" si="1"/>
        <v>0</v>
      </c>
      <c r="AE40" s="85"/>
      <c r="AF40" s="85"/>
    </row>
    <row r="41" spans="1:32" x14ac:dyDescent="0.2">
      <c r="A41" s="125" t="str">
        <f>IF(C41="","",MAX(A$20:A40)+1)</f>
        <v/>
      </c>
      <c r="B41" s="1" t="str">
        <f>IFERROR(VLOOKUP($C41,Таблица!$B$6:$E$81,2,FALSE),"")</f>
        <v/>
      </c>
      <c r="C41" s="31"/>
      <c r="D41" s="31"/>
      <c r="E41" s="32"/>
      <c r="F41" s="32"/>
      <c r="G41" s="32"/>
      <c r="H41" s="32"/>
      <c r="I41" s="1" t="str">
        <f t="shared" si="4"/>
        <v/>
      </c>
      <c r="J41" s="1" t="str">
        <f t="shared" si="5"/>
        <v/>
      </c>
      <c r="K41" s="42"/>
      <c r="L41" s="1">
        <f>IFERROR(VLOOKUP($C41,Таблица!$B$6:$K$81,3,FALSE),0)</f>
        <v>0</v>
      </c>
      <c r="M41" s="56" t="str">
        <f>IFERROR(VLOOKUP($C41,Таблица!$B$6:$F$81,5,FALSE),"")</f>
        <v/>
      </c>
      <c r="N41" s="1" t="str">
        <f>IFERROR(VLOOKUP($C41,Таблица!$B$6:$E$81,4,FALSE),"")</f>
        <v/>
      </c>
      <c r="O41" s="56">
        <f t="shared" si="2"/>
        <v>1</v>
      </c>
      <c r="P41" s="42"/>
      <c r="Q41" s="11" t="str">
        <f>IF(OR(AND(ISERROR(VLOOKUP($C41,Таблица!$B$6:$E$81,2,FALSE)),$C41&lt;&gt;""),P41&lt;&gt;""),"V","")</f>
        <v/>
      </c>
      <c r="R41" s="249">
        <f t="shared" si="3"/>
        <v>0</v>
      </c>
      <c r="S41" s="62">
        <f>ROUND(IFERROR(VLOOKUP($C41,Таблица!$B$6:$K$81,6,FALSE),80)/100*$AC41,2)</f>
        <v>0</v>
      </c>
      <c r="T41" s="62">
        <f>ROUND(IFERROR(VLOOKUP($C41,Таблица!$B$6:$K$81,7,FALSE),4)/100*$AC41,2)</f>
        <v>0</v>
      </c>
      <c r="U41" s="84">
        <f>ROUND(IFERROR(VLOOKUP($C41,Таблица!$B$6:$K$81,8,FALSE),0)/100*$AC41,2)</f>
        <v>0</v>
      </c>
      <c r="V41" s="84">
        <f>ROUND(IFERROR(VLOOKUP($C41,Таблица!$B$6:$K$81,9,FALSE),7)/100*$AC41,2)</f>
        <v>0</v>
      </c>
      <c r="W41" s="84">
        <f>ROUND(IFERROR(VLOOKUP($C41,Таблица!$B$6:$K$81,10,FALSE),9)/100*$AC41,2)</f>
        <v>0</v>
      </c>
      <c r="X41" s="88">
        <f>IF($R41="",0,ROUND($R41*IF($M41&gt;=35,Таблица!$O$44,Таблица!$O$36)*(1+$K$55),2))</f>
        <v>0</v>
      </c>
      <c r="Y41" s="88">
        <f>IF($R41="",0,ROUND($R41*IF($M41&gt;=35,Таблица!$O$45,Таблица!$O$37)*IF($M$12,0.8,1)*(1+$K$55),2))</f>
        <v>0</v>
      </c>
      <c r="Z41" s="88">
        <f>IF($R41="",0,ROUND($R41*IF($M41&gt;=35,Таблица!$O$46,Таблица!$O$38)*(1+$K$55),2))</f>
        <v>0</v>
      </c>
      <c r="AA41" s="88">
        <f>IF($R41="",0,ROUND($R41*IF($M41&gt;=35,Таблица!$O$47,Таблица!$O$39)*(1+$K$55),2))</f>
        <v>0</v>
      </c>
      <c r="AB41" s="88">
        <f>IF($R41="",0,ROUND($R41*IF($M41&gt;=35,Таблица!$O$48,Таблица!$O$40)*(1+$K$55),2))</f>
        <v>0</v>
      </c>
      <c r="AC41" s="139">
        <f t="shared" si="1"/>
        <v>0</v>
      </c>
      <c r="AE41" s="85"/>
      <c r="AF41" s="85"/>
    </row>
    <row r="42" spans="1:32" x14ac:dyDescent="0.2">
      <c r="A42" s="125" t="str">
        <f>IF(C42="","",MAX(A$20:A41)+1)</f>
        <v/>
      </c>
      <c r="B42" s="1" t="str">
        <f>IFERROR(VLOOKUP($C42,Таблица!$B$6:$E$81,2,FALSE),"")</f>
        <v/>
      </c>
      <c r="C42" s="31"/>
      <c r="D42" s="31"/>
      <c r="E42" s="32"/>
      <c r="F42" s="32"/>
      <c r="G42" s="32"/>
      <c r="H42" s="32"/>
      <c r="I42" s="1" t="str">
        <f t="shared" si="4"/>
        <v/>
      </c>
      <c r="J42" s="1" t="str">
        <f t="shared" si="5"/>
        <v/>
      </c>
      <c r="K42" s="42"/>
      <c r="L42" s="1">
        <f>IFERROR(VLOOKUP($C42,Таблица!$B$6:$K$81,3,FALSE),0)</f>
        <v>0</v>
      </c>
      <c r="M42" s="56" t="str">
        <f>IFERROR(VLOOKUP($C42,Таблица!$B$6:$F$81,5,FALSE),"")</f>
        <v/>
      </c>
      <c r="N42" s="1" t="str">
        <f>IFERROR(VLOOKUP($C42,Таблица!$B$6:$E$81,4,FALSE),"")</f>
        <v/>
      </c>
      <c r="O42" s="56">
        <f t="shared" si="2"/>
        <v>1</v>
      </c>
      <c r="P42" s="42"/>
      <c r="Q42" s="11" t="str">
        <f>IF(OR(AND(ISERROR(VLOOKUP($C42,Таблица!$B$6:$E$81,2,FALSE)),$C42&lt;&gt;""),P42&lt;&gt;""),"V","")</f>
        <v/>
      </c>
      <c r="R42" s="249">
        <f t="shared" si="3"/>
        <v>0</v>
      </c>
      <c r="S42" s="62">
        <f>ROUND(IFERROR(VLOOKUP($C42,Таблица!$B$6:$K$81,6,FALSE),80)/100*$AC42,2)</f>
        <v>0</v>
      </c>
      <c r="T42" s="62">
        <f>ROUND(IFERROR(VLOOKUP($C42,Таблица!$B$6:$K$81,7,FALSE),4)/100*$AC42,2)</f>
        <v>0</v>
      </c>
      <c r="U42" s="84">
        <f>ROUND(IFERROR(VLOOKUP($C42,Таблица!$B$6:$K$81,8,FALSE),0)/100*$AC42,2)</f>
        <v>0</v>
      </c>
      <c r="V42" s="84">
        <f>ROUND(IFERROR(VLOOKUP($C42,Таблица!$B$6:$K$81,9,FALSE),7)/100*$AC42,2)</f>
        <v>0</v>
      </c>
      <c r="W42" s="84">
        <f>ROUND(IFERROR(VLOOKUP($C42,Таблица!$B$6:$K$81,10,FALSE),9)/100*$AC42,2)</f>
        <v>0</v>
      </c>
      <c r="X42" s="88">
        <f>IF($R42="",0,ROUND($R42*IF($M42&gt;=35,Таблица!$O$44,Таблица!$O$36)*(1+$K$55),2))</f>
        <v>0</v>
      </c>
      <c r="Y42" s="88">
        <f>IF($R42="",0,ROUND($R42*IF($M42&gt;=35,Таблица!$O$45,Таблица!$O$37)*IF($M$12,0.8,1)*(1+$K$55),2))</f>
        <v>0</v>
      </c>
      <c r="Z42" s="88">
        <f>IF($R42="",0,ROUND($R42*IF($M42&gt;=35,Таблица!$O$46,Таблица!$O$38)*(1+$K$55),2))</f>
        <v>0</v>
      </c>
      <c r="AA42" s="88">
        <f>IF($R42="",0,ROUND($R42*IF($M42&gt;=35,Таблица!$O$47,Таблица!$O$39)*(1+$K$55),2))</f>
        <v>0</v>
      </c>
      <c r="AB42" s="88">
        <f>IF($R42="",0,ROUND($R42*IF($M42&gt;=35,Таблица!$O$48,Таблица!$O$40)*(1+$K$55),2))</f>
        <v>0</v>
      </c>
      <c r="AC42" s="139">
        <f t="shared" si="1"/>
        <v>0</v>
      </c>
      <c r="AE42" s="85"/>
      <c r="AF42" s="85"/>
    </row>
    <row r="43" spans="1:32" x14ac:dyDescent="0.2">
      <c r="A43" s="125" t="str">
        <f>IF(C43="","",MAX(A$20:A42)+1)</f>
        <v/>
      </c>
      <c r="B43" s="1" t="str">
        <f>IFERROR(VLOOKUP($C43,Таблица!$B$6:$E$81,2,FALSE),"")</f>
        <v/>
      </c>
      <c r="C43" s="31"/>
      <c r="D43" s="31"/>
      <c r="E43" s="32"/>
      <c r="F43" s="32"/>
      <c r="G43" s="32"/>
      <c r="H43" s="32"/>
      <c r="I43" s="1" t="str">
        <f t="shared" si="4"/>
        <v/>
      </c>
      <c r="J43" s="1" t="str">
        <f t="shared" si="5"/>
        <v/>
      </c>
      <c r="K43" s="42"/>
      <c r="L43" s="1">
        <f>IFERROR(VLOOKUP($C43,Таблица!$B$6:$K$81,3,FALSE),0)</f>
        <v>0</v>
      </c>
      <c r="M43" s="56" t="str">
        <f>IFERROR(VLOOKUP($C43,Таблица!$B$6:$F$81,5,FALSE),"")</f>
        <v/>
      </c>
      <c r="N43" s="1" t="str">
        <f>IFERROR(VLOOKUP($C43,Таблица!$B$6:$E$81,4,FALSE),"")</f>
        <v/>
      </c>
      <c r="O43" s="56">
        <f t="shared" si="2"/>
        <v>1</v>
      </c>
      <c r="P43" s="42"/>
      <c r="Q43" s="11" t="str">
        <f>IF(OR(AND(ISERROR(VLOOKUP($C43,Таблица!$B$6:$E$81,2,FALSE)),$C43&lt;&gt;""),P43&lt;&gt;""),"V","")</f>
        <v/>
      </c>
      <c r="R43" s="249">
        <f t="shared" si="3"/>
        <v>0</v>
      </c>
      <c r="S43" s="62">
        <f>ROUND(IFERROR(VLOOKUP($C43,Таблица!$B$6:$K$81,6,FALSE),80)/100*$AC43,2)</f>
        <v>0</v>
      </c>
      <c r="T43" s="62">
        <f>ROUND(IFERROR(VLOOKUP($C43,Таблица!$B$6:$K$81,7,FALSE),4)/100*$AC43,2)</f>
        <v>0</v>
      </c>
      <c r="U43" s="84">
        <f>ROUND(IFERROR(VLOOKUP($C43,Таблица!$B$6:$K$81,8,FALSE),0)/100*$AC43,2)</f>
        <v>0</v>
      </c>
      <c r="V43" s="84">
        <f>ROUND(IFERROR(VLOOKUP($C43,Таблица!$B$6:$K$81,9,FALSE),7)/100*$AC43,2)</f>
        <v>0</v>
      </c>
      <c r="W43" s="84">
        <f>ROUND(IFERROR(VLOOKUP($C43,Таблица!$B$6:$K$81,10,FALSE),9)/100*$AC43,2)</f>
        <v>0</v>
      </c>
      <c r="X43" s="88">
        <f>IF($R43="",0,ROUND($R43*IF($M43&gt;=35,Таблица!$O$44,Таблица!$O$36)*(1+$K$55),2))</f>
        <v>0</v>
      </c>
      <c r="Y43" s="88">
        <f>IF($R43="",0,ROUND($R43*IF($M43&gt;=35,Таблица!$O$45,Таблица!$O$37)*IF($M$12,0.8,1)*(1+$K$55),2))</f>
        <v>0</v>
      </c>
      <c r="Z43" s="88">
        <f>IF($R43="",0,ROUND($R43*IF($M43&gt;=35,Таблица!$O$46,Таблица!$O$38)*(1+$K$55),2))</f>
        <v>0</v>
      </c>
      <c r="AA43" s="88">
        <f>IF($R43="",0,ROUND($R43*IF($M43&gt;=35,Таблица!$O$47,Таблица!$O$39)*(1+$K$55),2))</f>
        <v>0</v>
      </c>
      <c r="AB43" s="88">
        <f>IF($R43="",0,ROUND($R43*IF($M43&gt;=35,Таблица!$O$48,Таблица!$O$40)*(1+$K$55),2))</f>
        <v>0</v>
      </c>
      <c r="AC43" s="139">
        <f t="shared" si="1"/>
        <v>0</v>
      </c>
      <c r="AE43" s="85"/>
      <c r="AF43" s="85"/>
    </row>
    <row r="44" spans="1:32" x14ac:dyDescent="0.2">
      <c r="A44" s="114"/>
      <c r="B44" s="1"/>
      <c r="C44" s="15" t="s">
        <v>367</v>
      </c>
      <c r="D44" s="15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249">
        <v>0</v>
      </c>
      <c r="S44" s="85"/>
      <c r="T44" s="85"/>
      <c r="U44" s="86"/>
      <c r="V44" s="86"/>
      <c r="W44" s="86"/>
      <c r="AC44" s="89"/>
      <c r="AE44" s="85"/>
      <c r="AF44" s="85"/>
    </row>
    <row r="45" spans="1:32" x14ac:dyDescent="0.2">
      <c r="A45" s="216" t="str">
        <f>IF(C45="","",MAX(A$20:A44)+1)</f>
        <v/>
      </c>
      <c r="B45" s="1" t="str">
        <f>IFERROR(VLOOKUP($C45,Таблица!$B$109:$E$112,2,FALSE),"")</f>
        <v/>
      </c>
      <c r="C45" s="31"/>
      <c r="D45" s="31"/>
      <c r="E45" s="32"/>
      <c r="F45" s="32"/>
      <c r="G45" s="32"/>
      <c r="H45" s="1"/>
      <c r="I45" s="1"/>
      <c r="J45" s="1" t="str">
        <f>IF($C45="","","км")</f>
        <v/>
      </c>
      <c r="K45" s="42"/>
      <c r="L45" s="1">
        <f>IFERROR(VLOOKUP($C45,Таблица!$B$109:$K$112,3,FALSE),0)</f>
        <v>0</v>
      </c>
      <c r="M45" s="1" t="str">
        <f>IFERROR(VLOOKUP($C45,Таблица!$B$109:$F$112,5,FALSE),"")</f>
        <v/>
      </c>
      <c r="N45" s="1" t="str">
        <f>IFERROR(VLOOKUP($C45,Таблица!$B$109:$E$112,4,FALSE),"")</f>
        <v/>
      </c>
      <c r="O45" s="56">
        <f t="shared" ref="O45:O48" si="10">IF(E45="",1,E45)*IF(F45="",1,F45)*IF(G45="",1,G45)*IF(H45="",1,H45)*IF(I45="",1,I45)</f>
        <v>1</v>
      </c>
      <c r="P45" s="42"/>
      <c r="Q45" s="1" t="str">
        <f>IF(OR(AND(ISERROR(VLOOKUP($C45,Таблица!$B$109:$E$112,2,FALSE)),$C45&lt;&gt;""),P45&lt;&gt;""),"√","")</f>
        <v/>
      </c>
      <c r="R45" s="249">
        <f>IFERROR(ROUND(K45*IF(P45="",N45*O45,P45*O45),2),0)</f>
        <v>0</v>
      </c>
      <c r="S45" s="62">
        <f>ROUND(IFERROR(VLOOKUP($C45,Таблица!$B$109:$K$112,6,FALSE),80)/100*$AC45,2)</f>
        <v>0</v>
      </c>
      <c r="T45" s="62">
        <f>ROUND(IFERROR(VLOOKUP($C45,Таблица!$B$109:$K$112,7,FALSE),4)/100*$AC45,2)</f>
        <v>0</v>
      </c>
      <c r="U45" s="84">
        <f>ROUND(IFERROR(VLOOKUP($C45,Таблица!$B$109:$K$112,8,FALSE),0)/100*$AC45,2)</f>
        <v>0</v>
      </c>
      <c r="V45" s="84">
        <f>ROUND(IFERROR(VLOOKUP($C45,Таблица!$B$109:$K$112,9,FALSE),7)/100*$AC45,2)</f>
        <v>0</v>
      </c>
      <c r="W45" s="84">
        <f>ROUND(IFERROR(VLOOKUP($C45,Таблица!$B$109:$K$112,10,FALSE),9)/100*$AC45,2)</f>
        <v>0</v>
      </c>
      <c r="X45" s="88">
        <f>IF($R45="",0,ROUND($R45*IF($M45&gt;=35,Таблица!$O$44,Таблица!$O$36)*(1+$K$55),2))</f>
        <v>0</v>
      </c>
      <c r="Y45" s="88">
        <f>IF($R45="",0,ROUND($R45*IF($M45&gt;=35,Таблица!$O$45,Таблица!$O$37)*IF($M$12,0.8,1)*(1+$K$55),2))</f>
        <v>0</v>
      </c>
      <c r="Z45" s="88">
        <f>IF($R45="",0,ROUND($R45*IF($M45&gt;=35,Таблица!$O$46,Таблица!$O$38)*(1+$K$55),2))</f>
        <v>0</v>
      </c>
      <c r="AA45" s="88">
        <f>IF($R45="",0,ROUND($R45*IF($M45&gt;=35,Таблица!$O$47,Таблица!$O$39)*(1+$K$55),2))</f>
        <v>0</v>
      </c>
      <c r="AB45" s="88">
        <f>IF($R45="",0,ROUND($R45*IF($M45&gt;=35,Таблица!$O$48,Таблица!$O$40)*(1+$K$55),2))</f>
        <v>0</v>
      </c>
      <c r="AC45" s="139">
        <f>IFERROR(ROUND(R45*(1+$K$55),2)+SUM(X45:AB45),0)</f>
        <v>0</v>
      </c>
      <c r="AE45" s="85"/>
      <c r="AF45" s="85"/>
    </row>
    <row r="46" spans="1:32" s="60" customFormat="1" x14ac:dyDescent="0.2">
      <c r="A46" s="216" t="str">
        <f>IF(C46="","",MAX(A$20:A45)+1)</f>
        <v/>
      </c>
      <c r="B46" s="56" t="str">
        <f>IFERROR(VLOOKUP($C46,Таблица!$B$109:$E$112,2,FALSE),"")</f>
        <v/>
      </c>
      <c r="C46" s="48"/>
      <c r="D46" s="48"/>
      <c r="E46" s="50"/>
      <c r="F46" s="50"/>
      <c r="G46" s="50"/>
      <c r="H46" s="56"/>
      <c r="I46" s="56"/>
      <c r="J46" s="56" t="str">
        <f t="shared" ref="J46:J47" si="11">IF($C46="","","км")</f>
        <v/>
      </c>
      <c r="K46" s="51"/>
      <c r="L46" s="56">
        <f>IFERROR(VLOOKUP($C46,Таблица!$B$109:$K$112,3,FALSE),0)</f>
        <v>0</v>
      </c>
      <c r="M46" s="56" t="str">
        <f>IFERROR(VLOOKUP($C46,Таблица!$B$109:$F$112,5,FALSE),"")</f>
        <v/>
      </c>
      <c r="N46" s="56" t="str">
        <f>IFERROR(VLOOKUP($C46,Таблица!$B$109:$E$112,4,FALSE),"")</f>
        <v/>
      </c>
      <c r="O46" s="56">
        <f t="shared" ref="O46:O47" si="12">IF(E46="",1,E46)*IF(F46="",1,F46)*IF(G46="",1,G46)*IF(H46="",1,H46)*IF(I46="",1,I46)</f>
        <v>1</v>
      </c>
      <c r="P46" s="51"/>
      <c r="Q46" s="56" t="str">
        <f>IF(OR(AND(ISERROR(VLOOKUP($C46,Таблица!$B$109:$E$112,2,FALSE)),$C46&lt;&gt;""),P46&lt;&gt;""),"√","")</f>
        <v/>
      </c>
      <c r="R46" s="249">
        <f>IFERROR(ROUND(K46*IF(P46="",N46*O46,P46*O46),2),0)</f>
        <v>0</v>
      </c>
      <c r="S46" s="62">
        <f>ROUND(IFERROR(VLOOKUP($C46,Таблица!$B$109:$K$112,6,FALSE),80)/100*$AC46,2)</f>
        <v>0</v>
      </c>
      <c r="T46" s="62">
        <f>ROUND(IFERROR(VLOOKUP($C46,Таблица!$B$109:$K$112,7,FALSE),4)/100*$AC46,2)</f>
        <v>0</v>
      </c>
      <c r="U46" s="84">
        <f>ROUND(IFERROR(VLOOKUP($C46,Таблица!$B$109:$K$112,8,FALSE),0)/100*$AC46,2)</f>
        <v>0</v>
      </c>
      <c r="V46" s="84">
        <f>ROUND(IFERROR(VLOOKUP($C46,Таблица!$B$109:$K$112,9,FALSE),7)/100*$AC46,2)</f>
        <v>0</v>
      </c>
      <c r="W46" s="84">
        <f>ROUND(IFERROR(VLOOKUP($C46,Таблица!$B$109:$K$112,10,FALSE),9)/100*$AC46,2)</f>
        <v>0</v>
      </c>
      <c r="X46" s="88">
        <f>IF($R46="",0,ROUND($R46*IF($M46&gt;=35,Таблица!$O$44,Таблица!$O$36)*(1+$K$55),2))</f>
        <v>0</v>
      </c>
      <c r="Y46" s="88">
        <f>IF($R46="",0,ROUND($R46*IF($M46&gt;=35,Таблица!$O$45,Таблица!$O$37)*IF($M$12,0.8,1)*(1+$K$55),2))</f>
        <v>0</v>
      </c>
      <c r="Z46" s="88">
        <f>IF($R46="",0,ROUND($R46*IF($M46&gt;=35,Таблица!$O$46,Таблица!$O$38)*(1+$K$55),2))</f>
        <v>0</v>
      </c>
      <c r="AA46" s="88">
        <f>IF($R46="",0,ROUND($R46*IF($M46&gt;=35,Таблица!$O$47,Таблица!$O$39)*(1+$K$55),2))</f>
        <v>0</v>
      </c>
      <c r="AB46" s="88">
        <f>IF($R46="",0,ROUND($R46*IF($M46&gt;=35,Таблица!$O$48,Таблица!$O$40)*(1+$K$55),2))</f>
        <v>0</v>
      </c>
      <c r="AC46" s="139">
        <f t="shared" ref="AC46:AC47" si="13">IFERROR(ROUND(R46*(1+$K$55),2)+SUM(X46:AB46),0)</f>
        <v>0</v>
      </c>
      <c r="AD46" s="89"/>
      <c r="AE46" s="85"/>
      <c r="AF46" s="85"/>
    </row>
    <row r="47" spans="1:32" s="60" customFormat="1" x14ac:dyDescent="0.2">
      <c r="A47" s="216" t="str">
        <f>IF(C47="","",MAX(A$20:A46)+1)</f>
        <v/>
      </c>
      <c r="B47" s="56" t="str">
        <f>IFERROR(VLOOKUP($C47,Таблица!$B$113:$E$122,2,FALSE),"")</f>
        <v/>
      </c>
      <c r="C47" s="48"/>
      <c r="D47" s="48"/>
      <c r="E47" s="50"/>
      <c r="F47" s="50"/>
      <c r="G47" s="50"/>
      <c r="H47" s="56"/>
      <c r="I47" s="56"/>
      <c r="J47" s="56" t="str">
        <f t="shared" si="11"/>
        <v/>
      </c>
      <c r="K47" s="51"/>
      <c r="L47" s="56">
        <f>IFERROR(VLOOKUP($C47,Таблица!$B$113:$K$122,3,FALSE),0)</f>
        <v>0</v>
      </c>
      <c r="M47" s="56" t="str">
        <f>IFERROR(VLOOKUP($C47,Таблица!$B$113:$F$122,5,FALSE),"")</f>
        <v/>
      </c>
      <c r="N47" s="56" t="str">
        <f>IFERROR(VLOOKUP($C47,Таблица!$B$113:$E$122,4,FALSE),"")</f>
        <v/>
      </c>
      <c r="O47" s="56">
        <f t="shared" si="12"/>
        <v>1</v>
      </c>
      <c r="P47" s="51"/>
      <c r="Q47" s="56" t="str">
        <f>IF(OR(AND(ISERROR(VLOOKUP($C47,Таблица!$B$113:$E$122,2,FALSE)),$C47&lt;&gt;""),P47&lt;&gt;""),"√","")</f>
        <v/>
      </c>
      <c r="R47" s="249">
        <f>IFERROR(ROUND(K47*IF(P47="",N47*O47,P47*O47),2),0)</f>
        <v>0</v>
      </c>
      <c r="S47" s="62">
        <f>ROUND(IFERROR(VLOOKUP($C47,Таблица!$B$109:$K$112,6,FALSE),80)/100*$AC47,2)</f>
        <v>0</v>
      </c>
      <c r="T47" s="62">
        <f>ROUND(IFERROR(VLOOKUP($C47,Таблица!$B$109:$K$112,7,FALSE),4)/100*$AC47,2)</f>
        <v>0</v>
      </c>
      <c r="U47" s="84">
        <f>ROUND(IFERROR(VLOOKUP($C47,Таблица!$B$109:$K$112,8,FALSE),0)/100*$AC47,2)</f>
        <v>0</v>
      </c>
      <c r="V47" s="84">
        <f>ROUND(IFERROR(VLOOKUP($C47,Таблица!$B$109:$K$112,9,FALSE),7)/100*$AC47,2)</f>
        <v>0</v>
      </c>
      <c r="W47" s="84">
        <f>ROUND(IFERROR(VLOOKUP($C47,Таблица!$B$109:$K$112,10,FALSE),9)/100*$AC47,2)</f>
        <v>0</v>
      </c>
      <c r="X47" s="88">
        <f>IF($R47="",0,ROUND($R47*IF($M47&gt;=35,Таблица!$O$44,Таблица!$O$36)*(1+$K$55),2))</f>
        <v>0</v>
      </c>
      <c r="Y47" s="88">
        <f>IF($R47="",0,ROUND($R47*IF($M47&gt;=35,Таблица!$O$45,Таблица!$O$37)*IF($M$12,0.8,1)*(1+$K$55),2))</f>
        <v>0</v>
      </c>
      <c r="Z47" s="88">
        <f>IF($R47="",0,ROUND($R47*IF($M47&gt;=35,Таблица!$O$46,Таблица!$O$38)*(1+$K$55),2))</f>
        <v>0</v>
      </c>
      <c r="AA47" s="88">
        <f>IF($R47="",0,ROUND($R47*IF($M47&gt;=35,Таблица!$O$47,Таблица!$O$39)*(1+$K$55),2))</f>
        <v>0</v>
      </c>
      <c r="AB47" s="88">
        <f>IF($R47="",0,ROUND($R47*IF($M47&gt;=35,Таблица!$O$48,Таблица!$O$40)*(1+$K$55),2))</f>
        <v>0</v>
      </c>
      <c r="AC47" s="139">
        <f t="shared" si="13"/>
        <v>0</v>
      </c>
      <c r="AD47" s="89"/>
      <c r="AE47" s="85"/>
      <c r="AF47" s="85"/>
    </row>
    <row r="48" spans="1:32" x14ac:dyDescent="0.2">
      <c r="A48" s="216" t="str">
        <f>IF(C48="","",MAX(A$20:A47)+1)</f>
        <v/>
      </c>
      <c r="B48" s="1" t="str">
        <f>IFERROR(VLOOKUP($C48,Таблица!$B$113:$E$122,2,FALSE),"")</f>
        <v/>
      </c>
      <c r="C48" s="31"/>
      <c r="D48" s="31"/>
      <c r="E48" s="32"/>
      <c r="F48" s="32"/>
      <c r="G48" s="32"/>
      <c r="H48" s="1"/>
      <c r="I48" s="1"/>
      <c r="J48" s="1" t="str">
        <f>IF($C48="","","км")</f>
        <v/>
      </c>
      <c r="K48" s="42"/>
      <c r="L48" s="1">
        <f>IFERROR(VLOOKUP($C48,Таблица!$B$113:$K$122,3,FALSE),0)</f>
        <v>0</v>
      </c>
      <c r="M48" s="1" t="str">
        <f>IFERROR(VLOOKUP($C48,Таблица!$B$113:$F$122,5,FALSE),"")</f>
        <v/>
      </c>
      <c r="N48" s="1" t="str">
        <f>IFERROR(VLOOKUP($C48,Таблица!$B$113:$E$122,4,FALSE),"")</f>
        <v/>
      </c>
      <c r="O48" s="56">
        <f t="shared" si="10"/>
        <v>1</v>
      </c>
      <c r="P48" s="42"/>
      <c r="Q48" s="1" t="str">
        <f>IF(OR(AND(ISERROR(VLOOKUP($C48,Таблица!$B$113:$E$122,2,FALSE)),$C48&lt;&gt;""),P48&lt;&gt;""),"√","")</f>
        <v/>
      </c>
      <c r="R48" s="249">
        <f>IFERROR(ROUND(K48*IF(P48="",N48*O48,P48*O48),2),0)</f>
        <v>0</v>
      </c>
      <c r="S48" s="62">
        <f>ROUND(IFERROR(VLOOKUP($C48,Таблица!$B$109:$K$112,6,FALSE),80)/100*$AC48,2)</f>
        <v>0</v>
      </c>
      <c r="T48" s="62">
        <f>ROUND(IFERROR(VLOOKUP($C48,Таблица!$B$109:$K$112,7,FALSE),4)/100*$AC48,2)</f>
        <v>0</v>
      </c>
      <c r="U48" s="84">
        <f>ROUND(IFERROR(VLOOKUP($C48,Таблица!$B$109:$K$112,8,FALSE),0)/100*$AC48,2)</f>
        <v>0</v>
      </c>
      <c r="V48" s="84">
        <f>ROUND(IFERROR(VLOOKUP($C48,Таблица!$B$109:$K$112,9,FALSE),7)/100*$AC48,2)</f>
        <v>0</v>
      </c>
      <c r="W48" s="84">
        <f>ROUND(IFERROR(VLOOKUP($C48,Таблица!$B$109:$K$112,10,FALSE),9)/100*$AC48,2)</f>
        <v>0</v>
      </c>
      <c r="X48" s="88">
        <f>IF($R48="",0,ROUND($R48*IF($M48&gt;=35,Таблица!$O$44,Таблица!$O$36)*(1+$K$55),2))</f>
        <v>0</v>
      </c>
      <c r="Y48" s="88">
        <f>IF($R48="",0,ROUND($R48*IF($M48&gt;=35,Таблица!$O$45,Таблица!$O$37)*IF($M$12,0.8,1)*(1+$K$55),2))</f>
        <v>0</v>
      </c>
      <c r="Z48" s="88">
        <f>IF($R48="",0,ROUND($R48*IF($M48&gt;=35,Таблица!$O$46,Таблица!$O$38)*(1+$K$55),2))</f>
        <v>0</v>
      </c>
      <c r="AA48" s="88">
        <f>IF($R48="",0,ROUND($R48*IF($M48&gt;=35,Таблица!$O$47,Таблица!$O$39)*(1+$K$55),2))</f>
        <v>0</v>
      </c>
      <c r="AB48" s="88">
        <f>IF($R48="",0,ROUND($R48*IF($M48&gt;=35,Таблица!$O$48,Таблица!$O$40)*(1+$K$55),2))</f>
        <v>0</v>
      </c>
      <c r="AC48" s="139">
        <f>IFERROR(ROUND(R48*(1+$K$55),2)+SUM(X48:AB48),0)</f>
        <v>0</v>
      </c>
      <c r="AE48" s="85"/>
      <c r="AF48" s="85"/>
    </row>
    <row r="49" spans="1:35" x14ac:dyDescent="0.2">
      <c r="A49" s="114"/>
      <c r="B49" s="1"/>
      <c r="C49" s="15" t="s">
        <v>462</v>
      </c>
      <c r="D49" s="15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249">
        <v>0</v>
      </c>
      <c r="S49" s="85"/>
      <c r="T49" s="85"/>
      <c r="U49" s="86"/>
      <c r="V49" s="86"/>
      <c r="W49" s="86"/>
      <c r="AC49" s="89"/>
      <c r="AE49" s="85"/>
      <c r="AF49" s="85"/>
    </row>
    <row r="50" spans="1:35" x14ac:dyDescent="0.2">
      <c r="A50" s="114" t="str">
        <f>IF(C50="","",MAX(A$20:A49)+1)</f>
        <v/>
      </c>
      <c r="B50" s="1" t="str">
        <f>IFERROR(VLOOKUP($C50,Таблица!$B$125:$E$129,2,FALSE),"")</f>
        <v/>
      </c>
      <c r="C50" s="31"/>
      <c r="D50" s="31"/>
      <c r="E50" s="32"/>
      <c r="F50" s="32"/>
      <c r="G50" s="32"/>
      <c r="H50" s="1"/>
      <c r="I50" s="1"/>
      <c r="J50" s="1" t="str">
        <f>IF($C50="","","км")</f>
        <v/>
      </c>
      <c r="K50" s="42"/>
      <c r="L50" s="1">
        <f>IFERROR(VLOOKUP($C50,Таблица!$B$125:$K$129,3,FALSE),0)</f>
        <v>0</v>
      </c>
      <c r="M50" s="1" t="str">
        <f>IFERROR(VLOOKUP($C50,Таблица!$B$125:$F$129,5,FALSE),"")</f>
        <v/>
      </c>
      <c r="N50" s="1" t="str">
        <f>IFERROR(VLOOKUP($C50,Таблица!$B$125:$E$129,4,FALSE),"")</f>
        <v/>
      </c>
      <c r="O50" s="56">
        <f>IF(E50="",1,E50)*IF(F50="",1,F50)*IF(G50="",1,G50)*IF(H50="",1,H50)*IF(I50="",1,I50)</f>
        <v>1</v>
      </c>
      <c r="P50" s="42"/>
      <c r="Q50" s="1" t="str">
        <f>IF(OR(AND(ISERROR(VLOOKUP($C50,Таблица!$B$125:$E$129,2,FALSE)),$C50&lt;&gt;""),P50&lt;&gt;""),"√","")</f>
        <v/>
      </c>
      <c r="R50" s="249">
        <f>IFERROR(ROUND(K50*IF(P50="",N50*O50,P50*O50),2),0)</f>
        <v>0</v>
      </c>
      <c r="S50" s="62">
        <f>ROUND(IFERROR(VLOOKUP($C50,Таблица!$B$125:$K$129,6,FALSE),80)/100*$AC50,2)</f>
        <v>0</v>
      </c>
      <c r="T50" s="62">
        <f>ROUND(IFERROR(VLOOKUP($C50,Таблица!$B$125:$K$129,7,FALSE),0)/100*$AC50,2)</f>
        <v>0</v>
      </c>
      <c r="U50" s="84">
        <f>ROUND(IFERROR(VLOOKUP($C50,Таблица!$B$125:$K$129,8,FALSE),0)/100*$AC50,2)</f>
        <v>0</v>
      </c>
      <c r="V50" s="84">
        <f>ROUND(IFERROR(VLOOKUP($C50,Таблица!$B$125:$K$129,9,FALSE),7.5)/100*$AC50,2)</f>
        <v>0</v>
      </c>
      <c r="W50" s="84">
        <f>ROUND(IFERROR(VLOOKUP($C50,Таблица!$B$125:$K$129,10,FALSE),12.5)/100*$AC50,2)</f>
        <v>0</v>
      </c>
      <c r="X50" s="88">
        <f>IF($R50="",0,ROUND($R50*IF($M50&gt;=35,Таблица!$O$44,Таблица!$O$36)*(1+$K$55),2))</f>
        <v>0</v>
      </c>
      <c r="Y50" s="88">
        <f>IF($R50="",0,ROUND($R50*IF($M50&gt;=35,Таблица!$O$45,Таблица!$O$37)*IF($M$12,0.8,1)*(1+$K$55),2))</f>
        <v>0</v>
      </c>
      <c r="Z50" s="88">
        <f>IF($R50="",0,ROUND($R50*IF($M50&gt;=35,Таблица!$O$46,Таблица!$O$38)*(1+$K$55),2))</f>
        <v>0</v>
      </c>
      <c r="AA50" s="88">
        <f>IF($R50="",0,ROUND($R50*IF($M50&gt;=35,Таблица!$O$47,Таблица!$O$39)*(1+$K$55),2))</f>
        <v>0</v>
      </c>
      <c r="AB50" s="88">
        <f>IF($R50="",0,ROUND($R50*IF($M50&gt;=35,Таблица!$O$48,Таблица!$O$40)*(1+$K$55),2))</f>
        <v>0</v>
      </c>
      <c r="AC50" s="139">
        <f>IFERROR(ROUND(R50*(1+$K$55),2)+SUM(X50:AB50),0)</f>
        <v>0</v>
      </c>
      <c r="AE50" s="85"/>
      <c r="AF50" s="85"/>
      <c r="AI50" s="60"/>
    </row>
    <row r="51" spans="1:35" s="60" customFormat="1" x14ac:dyDescent="0.2">
      <c r="A51" s="125" t="str">
        <f>IF(C51="","",MAX(A$20:A50)+1)</f>
        <v/>
      </c>
      <c r="B51" s="56" t="str">
        <f>IFERROR(VLOOKUP($C51,Таблица!$B$125:$E$129,2,FALSE),"")</f>
        <v/>
      </c>
      <c r="C51" s="48"/>
      <c r="D51" s="48"/>
      <c r="E51" s="50"/>
      <c r="F51" s="50"/>
      <c r="G51" s="50"/>
      <c r="H51" s="56"/>
      <c r="I51" s="56"/>
      <c r="J51" s="56" t="str">
        <f t="shared" ref="J51:J53" si="14">IF($C51="","","км")</f>
        <v/>
      </c>
      <c r="K51" s="51"/>
      <c r="L51" s="56">
        <f>IFERROR(VLOOKUP($C51,Таблица!$B$125:$K$129,3,FALSE),0)</f>
        <v>0</v>
      </c>
      <c r="M51" s="56" t="str">
        <f>IFERROR(VLOOKUP($C51,Таблица!$B$125:$F$129,5,FALSE),"")</f>
        <v/>
      </c>
      <c r="N51" s="56" t="str">
        <f>IFERROR(VLOOKUP($C51,Таблица!$B$125:$E$129,4,FALSE),"")</f>
        <v/>
      </c>
      <c r="O51" s="56">
        <f t="shared" ref="O51:O53" si="15">IF(E51="",1,E51)*IF(F51="",1,F51)*IF(G51="",1,G51)*IF(H51="",1,H51)*IF(I51="",1,I51)</f>
        <v>1</v>
      </c>
      <c r="P51" s="51"/>
      <c r="Q51" s="56" t="str">
        <f>IF(OR(AND(ISERROR(VLOOKUP($C51,Таблица!$B$125:$E$129,2,FALSE)),$C51&lt;&gt;""),P51&lt;&gt;""),"√","")</f>
        <v/>
      </c>
      <c r="R51" s="249">
        <f>IFERROR(ROUND(K51*IF(P51="",N51*O51,P51*O51),2),0)</f>
        <v>0</v>
      </c>
      <c r="S51" s="62">
        <f>ROUND(IFERROR(VLOOKUP($C51,Таблица!$B$125:$K$129,6,FALSE),80)/100*$AC51,2)</f>
        <v>0</v>
      </c>
      <c r="T51" s="62">
        <f>ROUND(IFERROR(VLOOKUP($C51,Таблица!$B$125:$K$129,7,FALSE),0)/100*$AC51,2)</f>
        <v>0</v>
      </c>
      <c r="U51" s="84">
        <f>ROUND(IFERROR(VLOOKUP($C51,Таблица!$B$125:$K$129,8,FALSE),0)/100*$AC51,2)</f>
        <v>0</v>
      </c>
      <c r="V51" s="84">
        <f>ROUND(IFERROR(VLOOKUP($C51,Таблица!$B$125:$K$129,9,FALSE),7.5)/100*$AC51,2)</f>
        <v>0</v>
      </c>
      <c r="W51" s="84">
        <f>ROUND(IFERROR(VLOOKUP($C51,Таблица!$B$125:$K$129,10,FALSE),12.5)/100*$AC51,2)</f>
        <v>0</v>
      </c>
      <c r="X51" s="88">
        <f>IF($R51="",0,ROUND($R51*IF($M51&gt;=35,Таблица!$O$44,Таблица!$O$36)*(1+$K$55),2))</f>
        <v>0</v>
      </c>
      <c r="Y51" s="88">
        <f>IF($R51="",0,ROUND($R51*IF($M51&gt;=35,Таблица!$O$45,Таблица!$O$37)*IF($M$12,0.8,1)*(1+$K$55),2))</f>
        <v>0</v>
      </c>
      <c r="Z51" s="88">
        <f>IF($R51="",0,ROUND($R51*IF($M51&gt;=35,Таблица!$O$46,Таблица!$O$38)*(1+$K$55),2))</f>
        <v>0</v>
      </c>
      <c r="AA51" s="88">
        <f>IF($R51="",0,ROUND($R51*IF($M51&gt;=35,Таблица!$O$47,Таблица!$O$39)*(1+$K$55),2))</f>
        <v>0</v>
      </c>
      <c r="AB51" s="88">
        <f>IF($R51="",0,ROUND($R51*IF($M51&gt;=35,Таблица!$O$48,Таблица!$O$40)*(1+$K$55),2))</f>
        <v>0</v>
      </c>
      <c r="AC51" s="139">
        <f t="shared" ref="AC51:AC53" si="16">IFERROR(ROUND(R51*(1+$K$55),2)+SUM(X51:AB51),0)</f>
        <v>0</v>
      </c>
      <c r="AD51" s="89"/>
      <c r="AE51" s="85"/>
      <c r="AF51" s="85"/>
    </row>
    <row r="52" spans="1:35" s="60" customFormat="1" x14ac:dyDescent="0.2">
      <c r="A52" s="125" t="str">
        <f>IF(C52="","",MAX(A$20:A51)+1)</f>
        <v/>
      </c>
      <c r="B52" s="56" t="str">
        <f>IFERROR(VLOOKUP($C52,Таблица!$B$125:$E$129,2,FALSE),"")</f>
        <v/>
      </c>
      <c r="C52" s="48"/>
      <c r="D52" s="48"/>
      <c r="E52" s="50"/>
      <c r="F52" s="50"/>
      <c r="G52" s="50"/>
      <c r="H52" s="56"/>
      <c r="I52" s="56"/>
      <c r="J52" s="56" t="str">
        <f t="shared" si="14"/>
        <v/>
      </c>
      <c r="K52" s="51"/>
      <c r="L52" s="56">
        <f>IFERROR(VLOOKUP($C52,Таблица!$B$125:$K$129,3,FALSE),0)</f>
        <v>0</v>
      </c>
      <c r="M52" s="56" t="str">
        <f>IFERROR(VLOOKUP($C52,Таблица!$B$125:$F$129,5,FALSE),"")</f>
        <v/>
      </c>
      <c r="N52" s="56" t="str">
        <f>IFERROR(VLOOKUP($C52,Таблица!$B$125:$E$129,4,FALSE),"")</f>
        <v/>
      </c>
      <c r="O52" s="56">
        <f t="shared" si="15"/>
        <v>1</v>
      </c>
      <c r="P52" s="51"/>
      <c r="Q52" s="56" t="str">
        <f>IF(OR(AND(ISERROR(VLOOKUP($C52,Таблица!$B$125:$E$129,2,FALSE)),$C52&lt;&gt;""),P52&lt;&gt;""),"√","")</f>
        <v/>
      </c>
      <c r="R52" s="249">
        <f>IFERROR(ROUND(K52*IF(P52="",N52*O52,P52*O52),2),0)</f>
        <v>0</v>
      </c>
      <c r="S52" s="62">
        <f>ROUND(IFERROR(VLOOKUP($C52,Таблица!$B$125:$K$129,6,FALSE),80)/100*$AC52,2)</f>
        <v>0</v>
      </c>
      <c r="T52" s="62">
        <f>ROUND(IFERROR(VLOOKUP($C52,Таблица!$B$125:$K$129,7,FALSE),0)/100*$AC52,2)</f>
        <v>0</v>
      </c>
      <c r="U52" s="84">
        <f>ROUND(IFERROR(VLOOKUP($C52,Таблица!$B$125:$K$129,8,FALSE),0)/100*$AC52,2)</f>
        <v>0</v>
      </c>
      <c r="V52" s="84">
        <f>ROUND(IFERROR(VLOOKUP($C52,Таблица!$B$125:$K$129,9,FALSE),7.5)/100*$AC52,2)</f>
        <v>0</v>
      </c>
      <c r="W52" s="84">
        <f>ROUND(IFERROR(VLOOKUP($C52,Таблица!$B$125:$K$129,10,FALSE),12.5)/100*$AC52,2)</f>
        <v>0</v>
      </c>
      <c r="X52" s="88">
        <f>IF($R52="",0,ROUND($R52*IF($M52&gt;=35,Таблица!$O$44,Таблица!$O$36)*(1+$K$55),2))</f>
        <v>0</v>
      </c>
      <c r="Y52" s="88">
        <f>IF($R52="",0,ROUND($R52*IF($M52&gt;=35,Таблица!$O$45,Таблица!$O$37)*IF($M$12,0.8,1)*(1+$K$55),2))</f>
        <v>0</v>
      </c>
      <c r="Z52" s="88">
        <f>IF($R52="",0,ROUND($R52*IF($M52&gt;=35,Таблица!$O$46,Таблица!$O$38)*(1+$K$55),2))</f>
        <v>0</v>
      </c>
      <c r="AA52" s="88">
        <f>IF($R52="",0,ROUND($R52*IF($M52&gt;=35,Таблица!$O$47,Таблица!$O$39)*(1+$K$55),2))</f>
        <v>0</v>
      </c>
      <c r="AB52" s="88">
        <f>IF($R52="",0,ROUND($R52*IF($M52&gt;=35,Таблица!$O$48,Таблица!$O$40)*(1+$K$55),2))</f>
        <v>0</v>
      </c>
      <c r="AC52" s="139">
        <f t="shared" si="16"/>
        <v>0</v>
      </c>
      <c r="AD52" s="89"/>
      <c r="AE52" s="85"/>
      <c r="AF52" s="85"/>
    </row>
    <row r="53" spans="1:35" s="60" customFormat="1" x14ac:dyDescent="0.2">
      <c r="A53" s="125" t="str">
        <f>IF(C53="","",MAX(A$20:A52)+1)</f>
        <v/>
      </c>
      <c r="B53" s="56" t="str">
        <f>IFERROR(VLOOKUP($C53,Таблица!$B$125:$E$129,2,FALSE),"")</f>
        <v/>
      </c>
      <c r="C53" s="48"/>
      <c r="D53" s="48"/>
      <c r="E53" s="50"/>
      <c r="F53" s="50"/>
      <c r="G53" s="50"/>
      <c r="H53" s="56"/>
      <c r="I53" s="56"/>
      <c r="J53" s="56" t="str">
        <f t="shared" si="14"/>
        <v/>
      </c>
      <c r="K53" s="51"/>
      <c r="L53" s="56">
        <f>IFERROR(VLOOKUP($C53,Таблица!$B$125:$K$129,3,FALSE),0)</f>
        <v>0</v>
      </c>
      <c r="M53" s="56" t="str">
        <f>IFERROR(VLOOKUP($C53,Таблица!$B$125:$F$129,5,FALSE),"")</f>
        <v/>
      </c>
      <c r="N53" s="56" t="str">
        <f>IFERROR(VLOOKUP($C53,Таблица!$B$125:$E$129,4,FALSE),"")</f>
        <v/>
      </c>
      <c r="O53" s="56">
        <f t="shared" si="15"/>
        <v>1</v>
      </c>
      <c r="P53" s="51"/>
      <c r="Q53" s="56" t="str">
        <f>IF(OR(AND(ISERROR(VLOOKUP($C53,Таблица!$B$125:$E$129,2,FALSE)),$C53&lt;&gt;""),P53&lt;&gt;""),"√","")</f>
        <v/>
      </c>
      <c r="R53" s="249">
        <f>IFERROR(ROUND(K53*IF(P53="",N53*O53,P53*O53),2),0)</f>
        <v>0</v>
      </c>
      <c r="S53" s="62">
        <f>ROUND(IFERROR(VLOOKUP($C53,Таблица!$B$125:$K$129,6,FALSE),80)/100*$AC53,2)</f>
        <v>0</v>
      </c>
      <c r="T53" s="62">
        <f>ROUND(IFERROR(VLOOKUP($C53,Таблица!$B$125:$K$129,7,FALSE),0)/100*$AC53,2)</f>
        <v>0</v>
      </c>
      <c r="U53" s="84">
        <f>ROUND(IFERROR(VLOOKUP($C53,Таблица!$B$125:$K$129,8,FALSE),0)/100*$AC53,2)</f>
        <v>0</v>
      </c>
      <c r="V53" s="84">
        <f>ROUND(IFERROR(VLOOKUP($C53,Таблица!$B$125:$K$129,9,FALSE),7.5)/100*$AC53,2)</f>
        <v>0</v>
      </c>
      <c r="W53" s="84">
        <f>ROUND(IFERROR(VLOOKUP($C53,Таблица!$B$125:$K$129,10,FALSE),12.5)/100*$AC53,2)</f>
        <v>0</v>
      </c>
      <c r="X53" s="88">
        <f>IF($R53="",0,ROUND($R53*IF($M53&gt;=35,Таблица!$O$44,Таблица!$O$36)*(1+$K$55),2))</f>
        <v>0</v>
      </c>
      <c r="Y53" s="88">
        <f>IF($R53="",0,ROUND($R53*IF($M53&gt;=35,Таблица!$O$45,Таблица!$O$37)*IF($M$12,0.8,1)*(1+$K$55),2))</f>
        <v>0</v>
      </c>
      <c r="Z53" s="88">
        <f>IF($R53="",0,ROUND($R53*IF($M53&gt;=35,Таблица!$O$46,Таблица!$O$38)*(1+$K$55),2))</f>
        <v>0</v>
      </c>
      <c r="AA53" s="88">
        <f>IF($R53="",0,ROUND($R53*IF($M53&gt;=35,Таблица!$O$47,Таблица!$O$39)*(1+$K$55),2))</f>
        <v>0</v>
      </c>
      <c r="AB53" s="88">
        <f>IF($R53="",0,ROUND($R53*IF($M53&gt;=35,Таблица!$O$48,Таблица!$O$40)*(1+$K$55),2))</f>
        <v>0</v>
      </c>
      <c r="AC53" s="139">
        <f t="shared" si="16"/>
        <v>0</v>
      </c>
      <c r="AD53" s="89"/>
      <c r="AE53" s="85"/>
      <c r="AF53" s="85"/>
    </row>
    <row r="54" spans="1:35" x14ac:dyDescent="0.2">
      <c r="A54" s="125" t="str">
        <f>IF(C54="","",MAX(A$20:A53)+1)</f>
        <v/>
      </c>
      <c r="B54" s="1" t="str">
        <f>IFERROR(VLOOKUP($C54,Таблица!$B$125:$E$129,2,FALSE),"")</f>
        <v/>
      </c>
      <c r="C54" s="31"/>
      <c r="D54" s="31"/>
      <c r="E54" s="32"/>
      <c r="F54" s="32"/>
      <c r="G54" s="32"/>
      <c r="H54" s="1"/>
      <c r="I54" s="1"/>
      <c r="J54" s="1" t="str">
        <f>IF($C54="","","км")</f>
        <v/>
      </c>
      <c r="K54" s="42"/>
      <c r="L54" s="1">
        <f>IFERROR(VLOOKUP($C54,Таблица!$B$125:$K$129,3,FALSE),0)</f>
        <v>0</v>
      </c>
      <c r="M54" s="1" t="str">
        <f>IFERROR(VLOOKUP($C54,Таблица!$B$125:$F$129,5,FALSE),"")</f>
        <v/>
      </c>
      <c r="N54" s="1" t="str">
        <f>IFERROR(VLOOKUP($C54,Таблица!$B$125:$E$129,4,FALSE),"")</f>
        <v/>
      </c>
      <c r="O54" s="56">
        <f>IF(E54="",1,E54)*IF(F54="",1,F54)*IF(G54="",1,G54)*IF(H54="",1,H54)*IF(I54="",1,I54)</f>
        <v>1</v>
      </c>
      <c r="P54" s="42"/>
      <c r="Q54" s="1" t="str">
        <f>IF(OR(AND(ISERROR(VLOOKUP($C54,Таблица!$B$125:$E$129,2,FALSE)),$C54&lt;&gt;""),P54&lt;&gt;""),"√","")</f>
        <v/>
      </c>
      <c r="R54" s="249">
        <f>IFERROR(ROUND(K54*IF(P54="",N54*O54,P54*O54),2),0)</f>
        <v>0</v>
      </c>
      <c r="S54" s="62">
        <f>ROUND(IFERROR(VLOOKUP($C54,Таблица!$B$125:$K$129,6,FALSE),80)/100*$AC54,2)</f>
        <v>0</v>
      </c>
      <c r="T54" s="62">
        <f>ROUND(IFERROR(VLOOKUP($C54,Таблица!$B$125:$K$129,7,FALSE),0)/100*$AC54,2)</f>
        <v>0</v>
      </c>
      <c r="U54" s="84">
        <f>ROUND(IFERROR(VLOOKUP($C54,Таблица!$B$125:$K$129,8,FALSE),0)/100*$AC54,2)</f>
        <v>0</v>
      </c>
      <c r="V54" s="84">
        <f>ROUND(IFERROR(VLOOKUP($C54,Таблица!$B$125:$K$129,9,FALSE),7.5)/100*$AC54,2)</f>
        <v>0</v>
      </c>
      <c r="W54" s="84">
        <f>ROUND(IFERROR(VLOOKUP($C54,Таблица!$B$125:$K$129,10,FALSE),12.5)/100*$AC54,2)</f>
        <v>0</v>
      </c>
      <c r="X54" s="88">
        <f>IF($R54="",0,ROUND($R54*IF($M54&gt;=35,Таблица!$O$44,Таблица!$O$36)*(1+$K$55),2))</f>
        <v>0</v>
      </c>
      <c r="Y54" s="88">
        <f>IF($R54="",0,ROUND($R54*IF($M54&gt;=35,Таблица!$O$45,Таблица!$O$37)*IF($M$12,0.8,1)*(1+$K$55),2))</f>
        <v>0</v>
      </c>
      <c r="Z54" s="88">
        <f>IF($R54="",0,ROUND($R54*IF($M54&gt;=35,Таблица!$O$46,Таблица!$O$38)*(1+$K$55),2))</f>
        <v>0</v>
      </c>
      <c r="AA54" s="88">
        <f>IF($R54="",0,ROUND($R54*IF($M54&gt;=35,Таблица!$O$47,Таблица!$O$39)*(1+$K$55),2))</f>
        <v>0</v>
      </c>
      <c r="AB54" s="88">
        <f>IF($R54="",0,ROUND($R54*IF($M54&gt;=35,Таблица!$O$48,Таблица!$O$40)*(1+$K$55),2))</f>
        <v>0</v>
      </c>
      <c r="AC54" s="139">
        <f t="shared" ref="AC54" si="17">IFERROR(ROUND(R54*(1+$K$55),2)+SUM(X54:AB54),0)</f>
        <v>0</v>
      </c>
      <c r="AE54" s="85"/>
      <c r="AF54" s="85"/>
      <c r="AI54" s="60"/>
    </row>
    <row r="55" spans="1:35" x14ac:dyDescent="0.2">
      <c r="A55" s="114"/>
      <c r="B55" s="1"/>
      <c r="C55" s="1" t="str">
        <f>IF($M$12,"Реконструкция ВЛ","")</f>
        <v/>
      </c>
      <c r="D55" s="1"/>
      <c r="E55" s="1"/>
      <c r="F55" s="1"/>
      <c r="G55" s="1"/>
      <c r="H55" s="1"/>
      <c r="I55" s="1"/>
      <c r="J55" s="1" t="str">
        <f>IF($M$12,"%","")</f>
        <v/>
      </c>
      <c r="K55" s="12">
        <f>IF($C$12=Таблица!$M$7,Таблица!$O$7,IF($C$12=Таблица!$M$8,Таблица!$O$8,1))-1</f>
        <v>0</v>
      </c>
      <c r="L55" s="1"/>
      <c r="M55" s="1"/>
      <c r="N55" s="1"/>
      <c r="O55" s="1"/>
      <c r="P55" s="1"/>
      <c r="Q55" s="1"/>
      <c r="R55" s="249">
        <f>ROUND(SUM(R24:R54)*K55,2)</f>
        <v>0</v>
      </c>
      <c r="S55" s="85"/>
      <c r="T55" s="85"/>
      <c r="U55" s="86"/>
      <c r="V55" s="86"/>
      <c r="W55" s="86"/>
      <c r="AC55" s="89"/>
      <c r="AE55" s="85"/>
    </row>
    <row r="56" spans="1:35" s="128" customFormat="1" hidden="1" x14ac:dyDescent="0.2">
      <c r="A56" s="132" t="s">
        <v>636</v>
      </c>
      <c r="B56" s="129"/>
      <c r="C56" s="129" t="s">
        <v>991</v>
      </c>
      <c r="D56" s="129"/>
      <c r="E56" s="129"/>
      <c r="F56" s="129"/>
      <c r="G56" s="129"/>
      <c r="H56" s="129"/>
      <c r="I56" s="129"/>
      <c r="J56" s="129"/>
      <c r="K56" s="129"/>
      <c r="L56" s="129">
        <v>0.4</v>
      </c>
      <c r="M56" s="129"/>
      <c r="N56" s="129"/>
      <c r="O56" s="129"/>
      <c r="P56" s="129"/>
      <c r="Q56" s="129"/>
      <c r="R56" s="250">
        <v>0</v>
      </c>
      <c r="S56" s="130">
        <f>SUMIF($M$24:$M$54,"&lt;=0,4",S$24:S$54)</f>
        <v>0</v>
      </c>
      <c r="T56" s="130">
        <f t="shared" ref="T56:AB56" si="18">SUMIF($M$24:$M$54,"&lt;=0,4",T$24:T$54)</f>
        <v>0</v>
      </c>
      <c r="U56" s="130">
        <f t="shared" si="18"/>
        <v>0</v>
      </c>
      <c r="V56" s="130">
        <f t="shared" si="18"/>
        <v>0</v>
      </c>
      <c r="W56" s="130">
        <f t="shared" si="18"/>
        <v>0</v>
      </c>
      <c r="X56" s="88">
        <f t="shared" si="18"/>
        <v>0</v>
      </c>
      <c r="Y56" s="88">
        <f t="shared" si="18"/>
        <v>0</v>
      </c>
      <c r="Z56" s="88">
        <f t="shared" si="18"/>
        <v>0</v>
      </c>
      <c r="AA56" s="88">
        <f t="shared" si="18"/>
        <v>0</v>
      </c>
      <c r="AB56" s="88">
        <f t="shared" si="18"/>
        <v>0</v>
      </c>
      <c r="AC56" s="89"/>
      <c r="AD56" s="89"/>
    </row>
    <row r="57" spans="1:35" s="128" customFormat="1" hidden="1" x14ac:dyDescent="0.2">
      <c r="A57" s="132" t="s">
        <v>636</v>
      </c>
      <c r="B57" s="129"/>
      <c r="C57" s="129" t="s">
        <v>992</v>
      </c>
      <c r="D57" s="129"/>
      <c r="E57" s="129"/>
      <c r="F57" s="129"/>
      <c r="G57" s="129"/>
      <c r="H57" s="129"/>
      <c r="I57" s="129"/>
      <c r="J57" s="129"/>
      <c r="K57" s="129"/>
      <c r="L57" s="129">
        <v>1</v>
      </c>
      <c r="M57" s="129">
        <v>20</v>
      </c>
      <c r="N57" s="129"/>
      <c r="O57" s="129"/>
      <c r="P57" s="129"/>
      <c r="Q57" s="129"/>
      <c r="R57" s="250">
        <v>0</v>
      </c>
      <c r="S57" s="130">
        <f t="shared" ref="S57:AB57" si="19">SUMIF($M$24:$M$54,"&lt;=20",S$24:S$54)-S56</f>
        <v>0</v>
      </c>
      <c r="T57" s="130">
        <f t="shared" si="19"/>
        <v>0</v>
      </c>
      <c r="U57" s="130">
        <f t="shared" si="19"/>
        <v>0</v>
      </c>
      <c r="V57" s="130">
        <f t="shared" si="19"/>
        <v>0</v>
      </c>
      <c r="W57" s="130">
        <f t="shared" si="19"/>
        <v>0</v>
      </c>
      <c r="X57" s="88">
        <f t="shared" si="19"/>
        <v>0</v>
      </c>
      <c r="Y57" s="88">
        <f t="shared" si="19"/>
        <v>0</v>
      </c>
      <c r="Z57" s="88">
        <f t="shared" si="19"/>
        <v>0</v>
      </c>
      <c r="AA57" s="88">
        <f t="shared" si="19"/>
        <v>0</v>
      </c>
      <c r="AB57" s="88">
        <f t="shared" si="19"/>
        <v>0</v>
      </c>
      <c r="AC57" s="89"/>
      <c r="AD57" s="89"/>
    </row>
    <row r="58" spans="1:35" s="128" customFormat="1" hidden="1" x14ac:dyDescent="0.2">
      <c r="A58" s="132" t="s">
        <v>636</v>
      </c>
      <c r="B58" s="129"/>
      <c r="C58" s="129" t="s">
        <v>994</v>
      </c>
      <c r="D58" s="129"/>
      <c r="E58" s="129"/>
      <c r="F58" s="129"/>
      <c r="G58" s="129"/>
      <c r="H58" s="129"/>
      <c r="I58" s="129"/>
      <c r="J58" s="129"/>
      <c r="K58" s="129"/>
      <c r="L58" s="129">
        <v>35</v>
      </c>
      <c r="M58" s="129">
        <v>35</v>
      </c>
      <c r="N58" s="129"/>
      <c r="O58" s="129"/>
      <c r="P58" s="129"/>
      <c r="Q58" s="129"/>
      <c r="R58" s="250">
        <v>0</v>
      </c>
      <c r="S58" s="130">
        <f t="shared" ref="S58:AB58" si="20">SUMIF($M$24:$M$54,"&lt;=35",S$24:S$54)-S57-S56</f>
        <v>0</v>
      </c>
      <c r="T58" s="130">
        <f t="shared" si="20"/>
        <v>0</v>
      </c>
      <c r="U58" s="130">
        <f t="shared" si="20"/>
        <v>0</v>
      </c>
      <c r="V58" s="130">
        <f t="shared" si="20"/>
        <v>0</v>
      </c>
      <c r="W58" s="130">
        <f t="shared" si="20"/>
        <v>0</v>
      </c>
      <c r="X58" s="88">
        <f t="shared" si="20"/>
        <v>0</v>
      </c>
      <c r="Y58" s="88">
        <f t="shared" si="20"/>
        <v>0</v>
      </c>
      <c r="Z58" s="88">
        <f t="shared" si="20"/>
        <v>0</v>
      </c>
      <c r="AA58" s="88">
        <f t="shared" si="20"/>
        <v>0</v>
      </c>
      <c r="AB58" s="88">
        <f t="shared" si="20"/>
        <v>0</v>
      </c>
      <c r="AC58" s="89"/>
      <c r="AD58" s="89"/>
    </row>
    <row r="59" spans="1:35" s="128" customFormat="1" hidden="1" x14ac:dyDescent="0.2">
      <c r="A59" s="132" t="s">
        <v>636</v>
      </c>
      <c r="B59" s="129"/>
      <c r="C59" s="129" t="s">
        <v>993</v>
      </c>
      <c r="D59" s="129"/>
      <c r="E59" s="129"/>
      <c r="F59" s="129"/>
      <c r="G59" s="129"/>
      <c r="H59" s="129"/>
      <c r="I59" s="129"/>
      <c r="J59" s="129"/>
      <c r="K59" s="129"/>
      <c r="L59" s="129">
        <v>110</v>
      </c>
      <c r="M59" s="129">
        <v>220</v>
      </c>
      <c r="N59" s="129"/>
      <c r="O59" s="129"/>
      <c r="P59" s="129"/>
      <c r="Q59" s="129"/>
      <c r="R59" s="250">
        <v>0</v>
      </c>
      <c r="S59" s="130">
        <f t="shared" ref="S59:AB59" si="21">SUMIF($M$24:$M$54,"&gt;=110",S$24:S$54)</f>
        <v>0</v>
      </c>
      <c r="T59" s="130">
        <f t="shared" si="21"/>
        <v>0</v>
      </c>
      <c r="U59" s="130">
        <f t="shared" si="21"/>
        <v>0</v>
      </c>
      <c r="V59" s="130">
        <f t="shared" si="21"/>
        <v>0</v>
      </c>
      <c r="W59" s="130">
        <f t="shared" si="21"/>
        <v>0</v>
      </c>
      <c r="X59" s="88">
        <f t="shared" si="21"/>
        <v>0</v>
      </c>
      <c r="Y59" s="88">
        <f t="shared" si="21"/>
        <v>0</v>
      </c>
      <c r="Z59" s="88">
        <f t="shared" si="21"/>
        <v>0</v>
      </c>
      <c r="AA59" s="88">
        <f t="shared" si="21"/>
        <v>0</v>
      </c>
      <c r="AB59" s="88">
        <f t="shared" si="21"/>
        <v>0</v>
      </c>
      <c r="AC59" s="89"/>
      <c r="AD59" s="89"/>
    </row>
    <row r="60" spans="1:35" x14ac:dyDescent="0.2">
      <c r="A60" s="114"/>
      <c r="B60" s="1"/>
      <c r="C60" s="15" t="s">
        <v>394</v>
      </c>
      <c r="D60" s="15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249">
        <v>0</v>
      </c>
      <c r="S60" s="85"/>
      <c r="T60" s="85"/>
      <c r="U60" s="86"/>
      <c r="V60" s="86"/>
      <c r="W60" s="86"/>
      <c r="AC60" s="89"/>
      <c r="AI60" s="60"/>
    </row>
    <row r="61" spans="1:35" x14ac:dyDescent="0.2">
      <c r="A61" s="114" t="str">
        <f>IF(C61="","",MAX(A$20:A60)+1)</f>
        <v/>
      </c>
      <c r="B61" s="1" t="str">
        <f>IFERROR(VLOOKUP($C61,Таблица!$B$132:$E$145,2,FALSE),"")</f>
        <v/>
      </c>
      <c r="C61" s="31"/>
      <c r="D61" s="31"/>
      <c r="E61" s="32"/>
      <c r="F61" s="32"/>
      <c r="G61" s="32"/>
      <c r="H61" s="1"/>
      <c r="I61" s="1"/>
      <c r="J61" s="1" t="str">
        <f>IF($C61="","","шт.")</f>
        <v/>
      </c>
      <c r="K61" s="64"/>
      <c r="L61" s="1">
        <f>IFERROR(VLOOKUP($C61,Таблица!$B$132:$K$145,3,FALSE),0)</f>
        <v>0</v>
      </c>
      <c r="M61" s="1" t="str">
        <f>IFERROR(VLOOKUP($C61,Таблица!$B$132:$F$145,5,FALSE),"")</f>
        <v/>
      </c>
      <c r="N61" s="1" t="str">
        <f>IFERROR(VLOOKUP($C61,Таблица!$B$132:$E$145,4,FALSE),"")</f>
        <v/>
      </c>
      <c r="O61" s="56">
        <f t="shared" ref="O61:O69" si="22">IF(E61="",1,E61)*IF(F61="",1,F61)*IF(G61="",1,G61)*IF(H61="",1,H61)*IF(I61="",1,I61)</f>
        <v>1</v>
      </c>
      <c r="P61" s="42"/>
      <c r="Q61" s="1" t="str">
        <f>IF(OR(AND(ISERROR(VLOOKUP($C61,Таблица!$B$132:$E$145,2,FALSE)),$C61&lt;&gt;""),P61&lt;&gt;""),"√","")</f>
        <v/>
      </c>
      <c r="R61" s="249">
        <f t="shared" ref="R61:R67" si="23">IFERROR(ROUND(K61*IF(P61="",N61*O61,P61*O61),2),0)</f>
        <v>0</v>
      </c>
      <c r="S61" s="62">
        <f>ROUND(IFERROR(VLOOKUP($C61,Таблица!$B$132:$K$145,6,FALSE),80)/100*$AC61,2)</f>
        <v>0</v>
      </c>
      <c r="T61" s="62">
        <f>ROUND(IFERROR(VLOOKUP($C61,Таблица!$B$132:$K$145,7,FALSE),0)/100*$AC61,2)</f>
        <v>0</v>
      </c>
      <c r="U61" s="84">
        <f>ROUND(IFERROR(VLOOKUP($C61,Таблица!$B$132:$K$145,8,FALSE),0)/100*$AC61,2)</f>
        <v>0</v>
      </c>
      <c r="V61" s="84">
        <f>ROUND(IFERROR(VLOOKUP($C61,Таблица!$B$132:$K$145,9,FALSE),7.5)/100*$AC61,2)</f>
        <v>0</v>
      </c>
      <c r="W61" s="84">
        <f>ROUND(IFERROR(VLOOKUP($C61,Таблица!$B$132:$K$145,10,FALSE),12.5)/100*$AC61,2)</f>
        <v>0</v>
      </c>
      <c r="X61" s="88">
        <f>IF($R61="",0,ROUND($R61*IF($M61&gt;=35,Таблица!$O$44,Таблица!$O$36)*(1+$K$74),2))</f>
        <v>0</v>
      </c>
      <c r="Y61" s="88">
        <f>IF($R61="",0,ROUND($R61*IF($M61&gt;=35,Таблица!$O$45,Таблица!$O$37)*IF($M$12,0.8,1)*(1+$K$74),2))</f>
        <v>0</v>
      </c>
      <c r="Z61" s="88">
        <f>IF($R61="",0,ROUND($R61*IF($M61&gt;=35,Таблица!$O$46,Таблица!$O$38)*(1+$K$74),2))</f>
        <v>0</v>
      </c>
      <c r="AA61" s="88">
        <f>IF($R61="",0,ROUND($R61*IF($M61&gt;=35,Таблица!$O$47,Таблица!$O$39)*(1+$K$74),2))</f>
        <v>0</v>
      </c>
      <c r="AB61" s="88">
        <f>IF($R61="",0,ROUND($R61*IF($M61&gt;=35,Таблица!$O$48,Таблица!$O$40)*(1+$K$74),2))</f>
        <v>0</v>
      </c>
      <c r="AC61" s="139">
        <f t="shared" ref="AC61:AC67" si="24">IFERROR(ROUND(R61*(1+$K$74),2)+SUM(X61:AB61),0)</f>
        <v>0</v>
      </c>
      <c r="AE61" s="85"/>
      <c r="AF61" s="85"/>
      <c r="AI61" s="60"/>
    </row>
    <row r="62" spans="1:35" x14ac:dyDescent="0.2">
      <c r="A62" s="114" t="str">
        <f>IF(C62="","",MAX(A$20:A61)+1)</f>
        <v/>
      </c>
      <c r="B62" s="1" t="str">
        <f>IFERROR(VLOOKUP($C62,Таблица!$B$132:$E$145,2,FALSE),"")</f>
        <v/>
      </c>
      <c r="C62" s="31"/>
      <c r="D62" s="31"/>
      <c r="E62" s="32"/>
      <c r="F62" s="32"/>
      <c r="G62" s="32"/>
      <c r="H62" s="1"/>
      <c r="I62" s="1"/>
      <c r="J62" s="1" t="str">
        <f>IF($C62="","","шт.")</f>
        <v/>
      </c>
      <c r="K62" s="64"/>
      <c r="L62" s="56">
        <f>IFERROR(VLOOKUP($C62,Таблица!$B$132:$K$145,3,FALSE),0)</f>
        <v>0</v>
      </c>
      <c r="M62" s="1" t="str">
        <f>IFERROR(VLOOKUP($C62,Таблица!$B$132:$F$145,5,FALSE),"")</f>
        <v/>
      </c>
      <c r="N62" s="1" t="str">
        <f>IFERROR(VLOOKUP($C62,Таблица!$B$132:$E$145,4,FALSE),"")</f>
        <v/>
      </c>
      <c r="O62" s="56">
        <f t="shared" si="22"/>
        <v>1</v>
      </c>
      <c r="P62" s="42"/>
      <c r="Q62" s="1" t="str">
        <f>IF(OR(AND(ISERROR(VLOOKUP($C62,Таблица!$B$132:$E$145,2,FALSE)),$C62&lt;&gt;""),P62&lt;&gt;""),"√","")</f>
        <v/>
      </c>
      <c r="R62" s="249">
        <f t="shared" si="23"/>
        <v>0</v>
      </c>
      <c r="S62" s="62">
        <f>ROUND(IFERROR(VLOOKUP($C62,Таблица!$B$132:$K$145,6,FALSE),80)/100*$AC62,2)</f>
        <v>0</v>
      </c>
      <c r="T62" s="62">
        <f>ROUND(IFERROR(VLOOKUP($C62,Таблица!$B$132:$K$145,7,FALSE),0)/100*$AC62,2)</f>
        <v>0</v>
      </c>
      <c r="U62" s="84">
        <f>ROUND(IFERROR(VLOOKUP($C62,Таблица!$B$132:$K$145,8,FALSE),0)/100*$AC62,2)</f>
        <v>0</v>
      </c>
      <c r="V62" s="84">
        <f>ROUND(IFERROR(VLOOKUP($C62,Таблица!$B$132:$K$145,9,FALSE),7.5)/100*$AC62,2)</f>
        <v>0</v>
      </c>
      <c r="W62" s="84">
        <f>ROUND(IFERROR(VLOOKUP($C62,Таблица!$B$132:$K$145,10,FALSE),12.5)/100*$AC62,2)</f>
        <v>0</v>
      </c>
      <c r="X62" s="88">
        <f>IF($R62="",0,ROUND($R62*IF($M62&gt;=35,Таблица!$O$44,Таблица!$O$36)*(1+$K$74),2))</f>
        <v>0</v>
      </c>
      <c r="Y62" s="88">
        <f>IF($R62="",0,ROUND($R62*IF($M62&gt;=35,Таблица!$O$45,Таблица!$O$37)*IF($M$12,0.8,1)*(1+$K$74),2))</f>
        <v>0</v>
      </c>
      <c r="Z62" s="88">
        <f>IF($R62="",0,ROUND($R62*IF($M62&gt;=35,Таблица!$O$46,Таблица!$O$38)*(1+$K$74),2))</f>
        <v>0</v>
      </c>
      <c r="AA62" s="88">
        <f>IF($R62="",0,ROUND($R62*IF($M62&gt;=35,Таблица!$O$47,Таблица!$O$39)*(1+$K$74),2))</f>
        <v>0</v>
      </c>
      <c r="AB62" s="88">
        <f>IF($R62="",0,ROUND($R62*IF($M62&gt;=35,Таблица!$O$48,Таблица!$O$40)*(1+$K$74),2))</f>
        <v>0</v>
      </c>
      <c r="AC62" s="139">
        <f t="shared" si="24"/>
        <v>0</v>
      </c>
      <c r="AE62" s="85"/>
      <c r="AF62" s="85"/>
      <c r="AG62" s="85"/>
    </row>
    <row r="63" spans="1:35" x14ac:dyDescent="0.2">
      <c r="A63" s="114" t="str">
        <f>IF(C63="","",MAX(A$20:A62)+1)</f>
        <v/>
      </c>
      <c r="B63" s="1" t="str">
        <f>IFERROR(VLOOKUP($C63,Таблица!$B$132:$E$145,2,FALSE),"")</f>
        <v/>
      </c>
      <c r="C63" s="31"/>
      <c r="D63" s="31"/>
      <c r="E63" s="32"/>
      <c r="F63" s="32"/>
      <c r="G63" s="32"/>
      <c r="H63" s="1"/>
      <c r="I63" s="1"/>
      <c r="J63" s="1" t="str">
        <f>IF($C63="","","шт.")</f>
        <v/>
      </c>
      <c r="K63" s="64"/>
      <c r="L63" s="56">
        <f>IFERROR(VLOOKUP($C63,Таблица!$B$132:$K$145,3,FALSE),0)</f>
        <v>0</v>
      </c>
      <c r="M63" s="1" t="str">
        <f>IFERROR(VLOOKUP($C63,Таблица!$B$132:$F$145,5,FALSE),"")</f>
        <v/>
      </c>
      <c r="N63" s="1" t="str">
        <f>IFERROR(VLOOKUP($C63,Таблица!$B$132:$E$145,4,FALSE),"")</f>
        <v/>
      </c>
      <c r="O63" s="56">
        <f t="shared" si="22"/>
        <v>1</v>
      </c>
      <c r="P63" s="42"/>
      <c r="Q63" s="1" t="str">
        <f>IF(OR(AND(ISERROR(VLOOKUP($C63,Таблица!$B$132:$E$145,2,FALSE)),$C63&lt;&gt;""),P63&lt;&gt;""),"√","")</f>
        <v/>
      </c>
      <c r="R63" s="249">
        <f t="shared" si="23"/>
        <v>0</v>
      </c>
      <c r="S63" s="62">
        <f>ROUND(IFERROR(VLOOKUP($C63,Таблица!$B$132:$K$145,6,FALSE),80)/100*$AC63,2)</f>
        <v>0</v>
      </c>
      <c r="T63" s="62">
        <f>ROUND(IFERROR(VLOOKUP($C63,Таблица!$B$132:$K$145,7,FALSE),0)/100*$AC63,2)</f>
        <v>0</v>
      </c>
      <c r="U63" s="84">
        <f>ROUND(IFERROR(VLOOKUP($C63,Таблица!$B$132:$K$145,8,FALSE),0)/100*$AC63,2)</f>
        <v>0</v>
      </c>
      <c r="V63" s="84">
        <f>ROUND(IFERROR(VLOOKUP($C63,Таблица!$B$132:$K$145,9,FALSE),7.5)/100*$AC63,2)</f>
        <v>0</v>
      </c>
      <c r="W63" s="84">
        <f>ROUND(IFERROR(VLOOKUP($C63,Таблица!$B$132:$K$145,10,FALSE),12.5)/100*$AC63,2)</f>
        <v>0</v>
      </c>
      <c r="X63" s="88">
        <f>IF($R63="",0,ROUND($R63*IF($M63&gt;=35,Таблица!$O$44,Таблица!$O$36)*(1+$K$74),2))</f>
        <v>0</v>
      </c>
      <c r="Y63" s="88">
        <f>IF($R63="",0,ROUND($R63*IF($M63&gt;=35,Таблица!$O$45,Таблица!$O$37)*IF($M$12,0.8,1)*(1+$K$74),2))</f>
        <v>0</v>
      </c>
      <c r="Z63" s="88">
        <f>IF($R63="",0,ROUND($R63*IF($M63&gt;=35,Таблица!$O$46,Таблица!$O$38)*(1+$K$74),2))</f>
        <v>0</v>
      </c>
      <c r="AA63" s="88">
        <f>IF($R63="",0,ROUND($R63*IF($M63&gt;=35,Таблица!$O$47,Таблица!$O$39)*(1+$K$74),2))</f>
        <v>0</v>
      </c>
      <c r="AB63" s="88">
        <f>IF($R63="",0,ROUND($R63*IF($M63&gt;=35,Таблица!$O$48,Таблица!$O$40)*(1+$K$74),2))</f>
        <v>0</v>
      </c>
      <c r="AC63" s="139">
        <f t="shared" si="24"/>
        <v>0</v>
      </c>
      <c r="AE63" s="85"/>
      <c r="AF63" s="85"/>
    </row>
    <row r="64" spans="1:35" x14ac:dyDescent="0.2">
      <c r="A64" s="114" t="str">
        <f>IF(C64="","",MAX(A$20:A63)+1)</f>
        <v/>
      </c>
      <c r="B64" s="1" t="str">
        <f>IFERROR(VLOOKUP($C64,Таблица!$B$132:$E$145,2,FALSE),"")</f>
        <v/>
      </c>
      <c r="C64" s="31"/>
      <c r="D64" s="31"/>
      <c r="E64" s="32"/>
      <c r="F64" s="32"/>
      <c r="G64" s="32"/>
      <c r="H64" s="1"/>
      <c r="I64" s="1"/>
      <c r="J64" s="1" t="str">
        <f>IF($C64="","","шт.")</f>
        <v/>
      </c>
      <c r="K64" s="64"/>
      <c r="L64" s="56">
        <f>IFERROR(VLOOKUP($C64,Таблица!$B$132:$K$145,3,FALSE),0)</f>
        <v>0</v>
      </c>
      <c r="M64" s="1" t="str">
        <f>IFERROR(VLOOKUP($C64,Таблица!$B$132:$F$145,5,FALSE),"")</f>
        <v/>
      </c>
      <c r="N64" s="1" t="str">
        <f>IFERROR(VLOOKUP($C64,Таблица!$B$132:$E$145,4,FALSE),"")</f>
        <v/>
      </c>
      <c r="O64" s="56">
        <f t="shared" si="22"/>
        <v>1</v>
      </c>
      <c r="P64" s="42"/>
      <c r="Q64" s="1" t="str">
        <f>IF(OR(AND(ISERROR(VLOOKUP($C64,Таблица!$B$132:$E$145,2,FALSE)),$C64&lt;&gt;""),P64&lt;&gt;""),"√","")</f>
        <v/>
      </c>
      <c r="R64" s="249">
        <f t="shared" si="23"/>
        <v>0</v>
      </c>
      <c r="S64" s="62">
        <f>ROUND(IFERROR(VLOOKUP($C64,Таблица!$B$132:$K$145,6,FALSE),80)/100*$AC64,2)</f>
        <v>0</v>
      </c>
      <c r="T64" s="62">
        <f>ROUND(IFERROR(VLOOKUP($C64,Таблица!$B$132:$K$145,7,FALSE),0)/100*$AC64,2)</f>
        <v>0</v>
      </c>
      <c r="U64" s="84">
        <f>ROUND(IFERROR(VLOOKUP($C64,Таблица!$B$132:$K$145,8,FALSE),0)/100*$AC64,2)</f>
        <v>0</v>
      </c>
      <c r="V64" s="84">
        <f>ROUND(IFERROR(VLOOKUP($C64,Таблица!$B$132:$K$145,9,FALSE),7.5)/100*$AC64,2)</f>
        <v>0</v>
      </c>
      <c r="W64" s="84">
        <f>ROUND(IFERROR(VLOOKUP($C64,Таблица!$B$132:$K$145,10,FALSE),12.5)/100*$AC64,2)</f>
        <v>0</v>
      </c>
      <c r="X64" s="88">
        <f>IF($R64="",0,ROUND($R64*IF($M64&gt;=35,Таблица!$O$44,Таблица!$O$36)*(1+$K$74),2))</f>
        <v>0</v>
      </c>
      <c r="Y64" s="88">
        <f>IF($R64="",0,ROUND($R64*IF($M64&gt;=35,Таблица!$O$45,Таблица!$O$37)*IF($M$12,0.8,1)*(1+$K$74),2))</f>
        <v>0</v>
      </c>
      <c r="Z64" s="88">
        <f>IF($R64="",0,ROUND($R64*IF($M64&gt;=35,Таблица!$O$46,Таблица!$O$38)*(1+$K$74),2))</f>
        <v>0</v>
      </c>
      <c r="AA64" s="88">
        <f>IF($R64="",0,ROUND($R64*IF($M64&gt;=35,Таблица!$O$47,Таблица!$O$39)*(1+$K$74),2))</f>
        <v>0</v>
      </c>
      <c r="AB64" s="88">
        <f>IF($R64="",0,ROUND($R64*IF($M64&gt;=35,Таблица!$O$48,Таблица!$O$40)*(1+$K$74),2))</f>
        <v>0</v>
      </c>
      <c r="AC64" s="139">
        <f t="shared" si="24"/>
        <v>0</v>
      </c>
      <c r="AE64" s="85"/>
      <c r="AF64" s="85"/>
      <c r="AG64" s="85"/>
    </row>
    <row r="65" spans="1:34" x14ac:dyDescent="0.2">
      <c r="A65" s="114" t="str">
        <f>IF(C65="","",MAX(A$20:A64)+1)</f>
        <v/>
      </c>
      <c r="B65" s="1" t="str">
        <f>IFERROR(VLOOKUP($C65,Таблица!$B$132:$E$145,2,FALSE),"")</f>
        <v/>
      </c>
      <c r="C65" s="31"/>
      <c r="D65" s="31"/>
      <c r="E65" s="32"/>
      <c r="F65" s="32"/>
      <c r="G65" s="32"/>
      <c r="H65" s="1"/>
      <c r="I65" s="1"/>
      <c r="J65" s="1" t="str">
        <f t="shared" ref="J65:J67" si="25">IF($C65="","","шт.")</f>
        <v/>
      </c>
      <c r="K65" s="64"/>
      <c r="L65" s="56">
        <f>IFERROR(VLOOKUP($C65,Таблица!$B$132:$K$145,3,FALSE),0)</f>
        <v>0</v>
      </c>
      <c r="M65" s="1" t="str">
        <f>IFERROR(VLOOKUP($C65,Таблица!$B$132:$F$145,5,FALSE),"")</f>
        <v/>
      </c>
      <c r="N65" s="1" t="str">
        <f>IFERROR(VLOOKUP($C65,Таблица!$B$132:$E$145,4,FALSE),"")</f>
        <v/>
      </c>
      <c r="O65" s="56">
        <f t="shared" si="22"/>
        <v>1</v>
      </c>
      <c r="P65" s="42"/>
      <c r="Q65" s="1" t="str">
        <f>IF(OR(AND(ISERROR(VLOOKUP($C65,Таблица!$B$132:$E$145,2,FALSE)),$C65&lt;&gt;""),P65&lt;&gt;""),"√","")</f>
        <v/>
      </c>
      <c r="R65" s="249">
        <f t="shared" si="23"/>
        <v>0</v>
      </c>
      <c r="S65" s="62">
        <f>ROUND(IFERROR(VLOOKUP($C65,Таблица!$B$132:$K$145,6,FALSE),80)/100*$AC65,2)</f>
        <v>0</v>
      </c>
      <c r="T65" s="62">
        <f>ROUND(IFERROR(VLOOKUP($C65,Таблица!$B$132:$K$145,7,FALSE),0)/100*$AC65,2)</f>
        <v>0</v>
      </c>
      <c r="U65" s="84">
        <f>ROUND(IFERROR(VLOOKUP($C65,Таблица!$B$132:$K$145,8,FALSE),0)/100*$AC65,2)</f>
        <v>0</v>
      </c>
      <c r="V65" s="84">
        <f>ROUND(IFERROR(VLOOKUP($C65,Таблица!$B$132:$K$145,9,FALSE),7.5)/100*$AC65,2)</f>
        <v>0</v>
      </c>
      <c r="W65" s="84">
        <f>ROUND(IFERROR(VLOOKUP($C65,Таблица!$B$132:$K$145,10,FALSE),12.5)/100*$AC65,2)</f>
        <v>0</v>
      </c>
      <c r="X65" s="88">
        <f>IF($R65="",0,ROUND($R65*IF($M65&gt;=35,Таблица!$O$44,Таблица!$O$36)*(1+$K$74),2))</f>
        <v>0</v>
      </c>
      <c r="Y65" s="88">
        <f>IF($R65="",0,ROUND($R65*IF($M65&gt;=35,Таблица!$O$45,Таблица!$O$37)*IF($M$12,0.8,1)*(1+$K$74),2))</f>
        <v>0</v>
      </c>
      <c r="Z65" s="88">
        <f>IF($R65="",0,ROUND($R65*IF($M65&gt;=35,Таблица!$O$46,Таблица!$O$38)*(1+$K$74),2))</f>
        <v>0</v>
      </c>
      <c r="AA65" s="88">
        <f>IF($R65="",0,ROUND($R65*IF($M65&gt;=35,Таблица!$O$47,Таблица!$O$39)*(1+$K$74),2))</f>
        <v>0</v>
      </c>
      <c r="AB65" s="88">
        <f>IF($R65="",0,ROUND($R65*IF($M65&gt;=35,Таблица!$O$48,Таблица!$O$40)*(1+$K$74),2))</f>
        <v>0</v>
      </c>
      <c r="AC65" s="139">
        <f t="shared" si="24"/>
        <v>0</v>
      </c>
      <c r="AE65" s="85"/>
      <c r="AF65" s="85"/>
      <c r="AG65" s="85"/>
    </row>
    <row r="66" spans="1:34" x14ac:dyDescent="0.2">
      <c r="A66" s="114" t="str">
        <f>IF(C66="","",MAX(A$20:A65)+1)</f>
        <v/>
      </c>
      <c r="B66" s="1" t="str">
        <f>IFERROR(VLOOKUP($C66,Таблица!$B$132:$E$145,2,FALSE),"")</f>
        <v/>
      </c>
      <c r="C66" s="31"/>
      <c r="D66" s="31"/>
      <c r="E66" s="32"/>
      <c r="F66" s="32"/>
      <c r="G66" s="32"/>
      <c r="H66" s="1"/>
      <c r="I66" s="1"/>
      <c r="J66" s="1" t="str">
        <f t="shared" si="25"/>
        <v/>
      </c>
      <c r="K66" s="64"/>
      <c r="L66" s="56">
        <f>IFERROR(VLOOKUP($C66,Таблица!$B$132:$K$145,3,FALSE),0)</f>
        <v>0</v>
      </c>
      <c r="M66" s="1" t="str">
        <f>IFERROR(VLOOKUP($C66,Таблица!$B$132:$F$145,5,FALSE),"")</f>
        <v/>
      </c>
      <c r="N66" s="1" t="str">
        <f>IFERROR(VLOOKUP($C66,Таблица!$B$132:$E$145,4,FALSE),"")</f>
        <v/>
      </c>
      <c r="O66" s="56">
        <f t="shared" si="22"/>
        <v>1</v>
      </c>
      <c r="P66" s="42"/>
      <c r="Q66" s="1" t="str">
        <f>IF(OR(AND(ISERROR(VLOOKUP($C66,Таблица!$B$132:$E$145,2,FALSE)),$C66&lt;&gt;""),P66&lt;&gt;""),"√","")</f>
        <v/>
      </c>
      <c r="R66" s="249">
        <f t="shared" si="23"/>
        <v>0</v>
      </c>
      <c r="S66" s="62">
        <f>ROUND(IFERROR(VLOOKUP($C66,Таблица!$B$132:$K$145,6,FALSE),80)/100*$AC66,2)</f>
        <v>0</v>
      </c>
      <c r="T66" s="62">
        <f>ROUND(IFERROR(VLOOKUP($C66,Таблица!$B$132:$K$145,7,FALSE),0)/100*$AC66,2)</f>
        <v>0</v>
      </c>
      <c r="U66" s="84">
        <f>ROUND(IFERROR(VLOOKUP($C66,Таблица!$B$132:$K$145,8,FALSE),0)/100*$AC66,2)</f>
        <v>0</v>
      </c>
      <c r="V66" s="84">
        <f>ROUND(IFERROR(VLOOKUP($C66,Таблица!$B$132:$K$145,9,FALSE),7.5)/100*$AC66,2)</f>
        <v>0</v>
      </c>
      <c r="W66" s="84">
        <f>ROUND(IFERROR(VLOOKUP($C66,Таблица!$B$132:$K$145,10,FALSE),12.5)/100*$AC66,2)</f>
        <v>0</v>
      </c>
      <c r="X66" s="88">
        <f>IF($R66="",0,ROUND($R66*IF($M66&gt;=35,Таблица!$O$44,Таблица!$O$36)*(1+$K$74),2))</f>
        <v>0</v>
      </c>
      <c r="Y66" s="88">
        <f>IF($R66="",0,ROUND($R66*IF($M66&gt;=35,Таблица!$O$45,Таблица!$O$37)*IF($M$12,0.8,1)*(1+$K$74),2))</f>
        <v>0</v>
      </c>
      <c r="Z66" s="88">
        <f>IF($R66="",0,ROUND($R66*IF($M66&gt;=35,Таблица!$O$46,Таблица!$O$38)*(1+$K$74),2))</f>
        <v>0</v>
      </c>
      <c r="AA66" s="88">
        <f>IF($R66="",0,ROUND($R66*IF($M66&gt;=35,Таблица!$O$47,Таблица!$O$39)*(1+$K$74),2))</f>
        <v>0</v>
      </c>
      <c r="AB66" s="88">
        <f>IF($R66="",0,ROUND($R66*IF($M66&gt;=35,Таблица!$O$48,Таблица!$O$40)*(1+$K$74),2))</f>
        <v>0</v>
      </c>
      <c r="AC66" s="139">
        <f t="shared" si="24"/>
        <v>0</v>
      </c>
      <c r="AE66" s="85"/>
      <c r="AF66" s="85"/>
      <c r="AG66" s="85"/>
    </row>
    <row r="67" spans="1:34" x14ac:dyDescent="0.2">
      <c r="A67" s="114" t="str">
        <f>IF(C67="","",MAX(A$20:A66)+1)</f>
        <v/>
      </c>
      <c r="B67" s="1" t="str">
        <f>IFERROR(VLOOKUP($C67,Таблица!$B$132:$E$145,2,FALSE),"")</f>
        <v/>
      </c>
      <c r="C67" s="31"/>
      <c r="D67" s="31"/>
      <c r="E67" s="32"/>
      <c r="F67" s="32"/>
      <c r="G67" s="32"/>
      <c r="H67" s="1"/>
      <c r="I67" s="1"/>
      <c r="J67" s="1" t="str">
        <f t="shared" si="25"/>
        <v/>
      </c>
      <c r="K67" s="64"/>
      <c r="L67" s="56">
        <f>IFERROR(VLOOKUP($C67,Таблица!$B$132:$K$145,3,FALSE),0)</f>
        <v>0</v>
      </c>
      <c r="M67" s="1" t="str">
        <f>IFERROR(VLOOKUP($C67,Таблица!$B$132:$F$145,5,FALSE),"")</f>
        <v/>
      </c>
      <c r="N67" s="1" t="str">
        <f>IFERROR(VLOOKUP($C67,Таблица!$B$132:$E$145,4,FALSE),"")</f>
        <v/>
      </c>
      <c r="O67" s="56">
        <f t="shared" si="22"/>
        <v>1</v>
      </c>
      <c r="P67" s="42"/>
      <c r="Q67" s="1" t="str">
        <f>IF(OR(AND(ISERROR(VLOOKUP($C67,Таблица!$B$132:$E$145,2,FALSE)),$C67&lt;&gt;""),P67&lt;&gt;""),"√","")</f>
        <v/>
      </c>
      <c r="R67" s="249">
        <f t="shared" si="23"/>
        <v>0</v>
      </c>
      <c r="S67" s="62">
        <f>ROUND(IFERROR(VLOOKUP($C67,Таблица!$B$132:$K$145,6,FALSE),80)/100*$AC67,2)</f>
        <v>0</v>
      </c>
      <c r="T67" s="62">
        <f>ROUND(IFERROR(VLOOKUP($C67,Таблица!$B$132:$K$145,7,FALSE),0)/100*$AC67,2)</f>
        <v>0</v>
      </c>
      <c r="U67" s="84">
        <f>ROUND(IFERROR(VLOOKUP($C67,Таблица!$B$132:$K$145,8,FALSE),0)/100*$AC67,2)</f>
        <v>0</v>
      </c>
      <c r="V67" s="84">
        <f>ROUND(IFERROR(VLOOKUP($C67,Таблица!$B$132:$K$145,9,FALSE),7.5)/100*$AC67,2)</f>
        <v>0</v>
      </c>
      <c r="W67" s="84">
        <f>ROUND(IFERROR(VLOOKUP($C67,Таблица!$B$132:$K$145,10,FALSE),12.5)/100*$AC67,2)</f>
        <v>0</v>
      </c>
      <c r="X67" s="88">
        <f>IF($R67="",0,ROUND($R67*IF($M67&gt;=35,Таблица!$O$44,Таблица!$O$36)*(1+$K$74),2))</f>
        <v>0</v>
      </c>
      <c r="Y67" s="88">
        <f>IF($R67="",0,ROUND($R67*IF($M67&gt;=35,Таблица!$O$45,Таблица!$O$37)*IF($M$12,0.8,1)*(1+$K$74),2))</f>
        <v>0</v>
      </c>
      <c r="Z67" s="88">
        <f>IF($R67="",0,ROUND($R67*IF($M67&gt;=35,Таблица!$O$46,Таблица!$O$38)*(1+$K$74),2))</f>
        <v>0</v>
      </c>
      <c r="AA67" s="88">
        <f>IF($R67="",0,ROUND($R67*IF($M67&gt;=35,Таблица!$O$47,Таблица!$O$39)*(1+$K$74),2))</f>
        <v>0</v>
      </c>
      <c r="AB67" s="88">
        <f>IF($R67="",0,ROUND($R67*IF($M67&gt;=35,Таблица!$O$48,Таблица!$O$40)*(1+$K$74),2))</f>
        <v>0</v>
      </c>
      <c r="AC67" s="139">
        <f t="shared" si="24"/>
        <v>0</v>
      </c>
      <c r="AE67" s="85"/>
      <c r="AF67" s="85"/>
      <c r="AG67" s="85"/>
    </row>
    <row r="68" spans="1:34" x14ac:dyDescent="0.2">
      <c r="A68" s="114"/>
      <c r="B68" s="1"/>
      <c r="C68" s="15" t="s">
        <v>395</v>
      </c>
      <c r="D68" s="15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249">
        <v>0</v>
      </c>
      <c r="S68" s="85"/>
      <c r="T68" s="85"/>
      <c r="U68" s="86"/>
      <c r="V68" s="86"/>
      <c r="W68" s="86"/>
      <c r="AC68" s="89"/>
      <c r="AF68" s="85"/>
    </row>
    <row r="69" spans="1:34" x14ac:dyDescent="0.2">
      <c r="A69" s="114" t="str">
        <f>IF(C69="","",MAX(A$20:A68)+1)</f>
        <v/>
      </c>
      <c r="B69" s="1" t="str">
        <f>IFERROR(VLOOKUP($C69,Таблица!$B$146:$E$146,2,FALSE),"")</f>
        <v/>
      </c>
      <c r="C69" s="48"/>
      <c r="D69" s="31"/>
      <c r="E69" s="32"/>
      <c r="F69" s="32"/>
      <c r="G69" s="32"/>
      <c r="H69" s="1"/>
      <c r="I69" s="1"/>
      <c r="J69" s="1" t="str">
        <f>IF($C69="","","шт.")</f>
        <v/>
      </c>
      <c r="K69" s="64"/>
      <c r="L69" s="1">
        <f>IFERROR(VLOOKUP($C69,Таблица!$B$146:$K$146,3,FALSE),0)</f>
        <v>0</v>
      </c>
      <c r="M69" s="1" t="str">
        <f>IFERROR(VLOOKUP($C69,Таблица!$B$146:$K$146,5,FALSE),"")</f>
        <v/>
      </c>
      <c r="N69" s="1" t="str">
        <f>IFERROR(VLOOKUP($C69,Таблица!$B$146:$K$146,4,FALSE),"")</f>
        <v/>
      </c>
      <c r="O69" s="56">
        <f t="shared" si="22"/>
        <v>1</v>
      </c>
      <c r="P69" s="42"/>
      <c r="Q69" s="1" t="str">
        <f>IF(OR(AND(ISERROR(VLOOKUP($C69,Таблица!$B$146:$E$146,2,FALSE)),$C69&lt;&gt;""),P69&lt;&gt;""),"√","")</f>
        <v/>
      </c>
      <c r="R69" s="249">
        <f>IFERROR(ROUND(K69*IF(P69="",N69*O69,P69*O69),2),0)</f>
        <v>0</v>
      </c>
      <c r="S69" s="62">
        <f>ROUND(IFERROR(VLOOKUP($C69,Таблица!$B$146:$K$146,6,FALSE),45.5)/100*$AC69,2)</f>
        <v>0</v>
      </c>
      <c r="T69" s="62">
        <f>ROUND(IFERROR(VLOOKUP($C69,Таблица!$B$146:$K$146,7,FALSE),30)/100*$AC69,2)</f>
        <v>0</v>
      </c>
      <c r="U69" s="84">
        <f>ROUND(IFERROR(VLOOKUP($C69,Таблица!$B$146:$K$146,8,FALSE),2.5)/100*$AC69,2)</f>
        <v>0</v>
      </c>
      <c r="V69" s="84">
        <f>ROUND(IFERROR(VLOOKUP($C69,Таблица!$B$146:$K$146,9,FALSE),16)/100*$AC69,2)</f>
        <v>0</v>
      </c>
      <c r="W69" s="84">
        <f>ROUND(IFERROR(VLOOKUP($C69,Таблица!$B$146:$K$146,10,FALSE),6)/100*$AC69,2)</f>
        <v>0</v>
      </c>
      <c r="X69" s="88">
        <f>IF($R69="",0,ROUND($R69*IF($M69&gt;=35,Таблица!$O$44,Таблица!$O$36)*(1+$K$74),2))</f>
        <v>0</v>
      </c>
      <c r="Y69" s="88">
        <f>IF($R69="",0,ROUND($R69*IF($M69&gt;=35,Таблица!$O$45,Таблица!$O$37)*IF($M$12,0.8,1)*(1+$K$74),2))</f>
        <v>0</v>
      </c>
      <c r="Z69" s="88">
        <f>IF($R69="",0,ROUND($R69*IF($M69&gt;=35,Таблица!$O$46,Таблица!$O$38)*(1+$K$74),2))</f>
        <v>0</v>
      </c>
      <c r="AA69" s="88">
        <f>IF($R69="",0,ROUND($R69*IF($M69&gt;=35,Таблица!$O$47,Таблица!$O$39)*(1+$K$74),2))</f>
        <v>0</v>
      </c>
      <c r="AB69" s="88">
        <f>IF($R69="",0,ROUND($R69*IF($M69&gt;=35,Таблица!$O$48,Таблица!$O$40)*(1+$K$74),2))</f>
        <v>0</v>
      </c>
      <c r="AC69" s="139">
        <f>IFERROR(ROUND(R69*(1+$K$74),2)+SUM(X69:AB69),0)</f>
        <v>0</v>
      </c>
      <c r="AE69" s="85"/>
      <c r="AF69" s="85"/>
    </row>
    <row r="70" spans="1:34" s="60" customFormat="1" x14ac:dyDescent="0.2">
      <c r="A70" s="125" t="str">
        <f>IF(C70="","",MAX(A$20:A69)+1)</f>
        <v/>
      </c>
      <c r="B70" s="56" t="str">
        <f>IFERROR(VLOOKUP($C70,Таблица!$B$146:$E$146,2,FALSE),"")</f>
        <v/>
      </c>
      <c r="C70" s="48"/>
      <c r="D70" s="48"/>
      <c r="E70" s="50"/>
      <c r="F70" s="50"/>
      <c r="G70" s="50"/>
      <c r="H70" s="56"/>
      <c r="I70" s="56"/>
      <c r="J70" s="56" t="str">
        <f t="shared" ref="J70:J73" si="26">IF($C70="","","шт.")</f>
        <v/>
      </c>
      <c r="K70" s="64"/>
      <c r="L70" s="56">
        <f>IFERROR(VLOOKUP($C70,Таблица!$B$146:$K$146,3,FALSE),0)</f>
        <v>0</v>
      </c>
      <c r="M70" s="56" t="str">
        <f>IFERROR(VLOOKUP($C70,Таблица!$B$146:$K$146,5,FALSE),"")</f>
        <v/>
      </c>
      <c r="N70" s="56" t="str">
        <f>IFERROR(VLOOKUP($C70,Таблица!$B$146:$K$146,4,FALSE),"")</f>
        <v/>
      </c>
      <c r="O70" s="56">
        <f t="shared" ref="O70:O73" si="27">IF(E70="",1,E70)*IF(F70="",1,F70)*IF(G70="",1,G70)*IF(H70="",1,H70)*IF(I70="",1,I70)</f>
        <v>1</v>
      </c>
      <c r="P70" s="51"/>
      <c r="Q70" s="56" t="str">
        <f>IF(OR(AND(ISERROR(VLOOKUP($C70,Таблица!$B$146:$E$146,2,FALSE)),$C70&lt;&gt;""),P70&lt;&gt;""),"√","")</f>
        <v/>
      </c>
      <c r="R70" s="249">
        <f>IFERROR(ROUND(K70*IF(P70="",N70*O70,P70*O70),2),0)</f>
        <v>0</v>
      </c>
      <c r="S70" s="62">
        <f>ROUND(IFERROR(VLOOKUP($C70,Таблица!$B$146:$K$146,6,FALSE),45.5)/100*$AC70,2)</f>
        <v>0</v>
      </c>
      <c r="T70" s="62">
        <f>ROUND(IFERROR(VLOOKUP($C70,Таблица!$B$146:$K$146,7,FALSE),30)/100*$AC70,2)</f>
        <v>0</v>
      </c>
      <c r="U70" s="84">
        <f>ROUND(IFERROR(VLOOKUP($C70,Таблица!$B$146:$K$146,8,FALSE),2.5)/100*$AC70,2)</f>
        <v>0</v>
      </c>
      <c r="V70" s="84">
        <f>ROUND(IFERROR(VLOOKUP($C70,Таблица!$B$146:$K$146,9,FALSE),16)/100*$AC70,2)</f>
        <v>0</v>
      </c>
      <c r="W70" s="84">
        <f>ROUND(IFERROR(VLOOKUP($C70,Таблица!$B$146:$K$146,10,FALSE),6)/100*$AC70,2)</f>
        <v>0</v>
      </c>
      <c r="X70" s="88">
        <f>IF($R70="",0,ROUND($R70*IF($M70&gt;=35,Таблица!$O$44,Таблица!$O$36)*(1+$K$74),2))</f>
        <v>0</v>
      </c>
      <c r="Y70" s="88">
        <f>IF($R70="",0,ROUND($R70*IF($M70&gt;=35,Таблица!$O$45,Таблица!$O$37)*IF($M$12,0.8,1)*(1+$K$74),2))</f>
        <v>0</v>
      </c>
      <c r="Z70" s="88">
        <f>IF($R70="",0,ROUND($R70*IF($M70&gt;=35,Таблица!$O$46,Таблица!$O$38)*(1+$K$74),2))</f>
        <v>0</v>
      </c>
      <c r="AA70" s="88">
        <f>IF($R70="",0,ROUND($R70*IF($M70&gt;=35,Таблица!$O$47,Таблица!$O$39)*(1+$K$74),2))</f>
        <v>0</v>
      </c>
      <c r="AB70" s="88">
        <f>IF($R70="",0,ROUND($R70*IF($M70&gt;=35,Таблица!$O$48,Таблица!$O$40)*(1+$K$74),2))</f>
        <v>0</v>
      </c>
      <c r="AC70" s="139">
        <f t="shared" ref="AC70:AC73" si="28">IFERROR(ROUND(R70*(1+$K$74),2)+SUM(X70:AB70),0)</f>
        <v>0</v>
      </c>
      <c r="AD70" s="89"/>
      <c r="AE70" s="85"/>
      <c r="AF70" s="85"/>
    </row>
    <row r="71" spans="1:34" s="60" customFormat="1" x14ac:dyDescent="0.2">
      <c r="A71" s="125" t="str">
        <f>IF(C71="","",MAX(A$20:A70)+1)</f>
        <v/>
      </c>
      <c r="B71" s="56" t="str">
        <f>IFERROR(VLOOKUP($C71,Таблица!$B$146:$E$146,2,FALSE),"")</f>
        <v/>
      </c>
      <c r="C71" s="48"/>
      <c r="D71" s="48"/>
      <c r="E71" s="50"/>
      <c r="F71" s="50"/>
      <c r="G71" s="50"/>
      <c r="H71" s="56"/>
      <c r="I71" s="56"/>
      <c r="J71" s="56" t="str">
        <f t="shared" si="26"/>
        <v/>
      </c>
      <c r="K71" s="64"/>
      <c r="L71" s="56">
        <f>IFERROR(VLOOKUP($C71,Таблица!$B$146:$K$146,3,FALSE),0)</f>
        <v>0</v>
      </c>
      <c r="M71" s="56" t="str">
        <f>IFERROR(VLOOKUP($C71,Таблица!$B$146:$K$146,5,FALSE),"")</f>
        <v/>
      </c>
      <c r="N71" s="56" t="str">
        <f>IFERROR(VLOOKUP($C71,Таблица!$B$146:$K$146,4,FALSE),"")</f>
        <v/>
      </c>
      <c r="O71" s="56">
        <f t="shared" si="27"/>
        <v>1</v>
      </c>
      <c r="P71" s="51"/>
      <c r="Q71" s="56" t="str">
        <f>IF(OR(AND(ISERROR(VLOOKUP($C71,Таблица!$B$146:$E$146,2,FALSE)),$C71&lt;&gt;""),P71&lt;&gt;""),"√","")</f>
        <v/>
      </c>
      <c r="R71" s="249">
        <f>IFERROR(ROUND(K71*IF(P71="",N71*O71,P71*O71),2),0)</f>
        <v>0</v>
      </c>
      <c r="S71" s="62">
        <f>ROUND(IFERROR(VLOOKUP($C71,Таблица!$B$146:$K$146,6,FALSE),45.5)/100*$AC71,2)</f>
        <v>0</v>
      </c>
      <c r="T71" s="62">
        <f>ROUND(IFERROR(VLOOKUP($C71,Таблица!$B$146:$K$146,7,FALSE),30)/100*$AC71,2)</f>
        <v>0</v>
      </c>
      <c r="U71" s="84">
        <f>ROUND(IFERROR(VLOOKUP($C71,Таблица!$B$146:$K$146,8,FALSE),2.5)/100*$AC71,2)</f>
        <v>0</v>
      </c>
      <c r="V71" s="84">
        <f>ROUND(IFERROR(VLOOKUP($C71,Таблица!$B$146:$K$146,9,FALSE),16)/100*$AC71,2)</f>
        <v>0</v>
      </c>
      <c r="W71" s="84">
        <f>ROUND(IFERROR(VLOOKUP($C71,Таблица!$B$146:$K$146,10,FALSE),6)/100*$AC71,2)</f>
        <v>0</v>
      </c>
      <c r="X71" s="88">
        <f>IF($R71="",0,ROUND($R71*IF($M71&gt;=35,Таблица!$O$44,Таблица!$O$36)*(1+$K$74),2))</f>
        <v>0</v>
      </c>
      <c r="Y71" s="88">
        <f>IF($R71="",0,ROUND($R71*IF($M71&gt;=35,Таблица!$O$45,Таблица!$O$37)*IF($M$12,0.8,1)*(1+$K$74),2))</f>
        <v>0</v>
      </c>
      <c r="Z71" s="88">
        <f>IF($R71="",0,ROUND($R71*IF($M71&gt;=35,Таблица!$O$46,Таблица!$O$38)*(1+$K$74),2))</f>
        <v>0</v>
      </c>
      <c r="AA71" s="88">
        <f>IF($R71="",0,ROUND($R71*IF($M71&gt;=35,Таблица!$O$47,Таблица!$O$39)*(1+$K$74),2))</f>
        <v>0</v>
      </c>
      <c r="AB71" s="88">
        <f>IF($R71="",0,ROUND($R71*IF($M71&gt;=35,Таблица!$O$48,Таблица!$O$40)*(1+$K$74),2))</f>
        <v>0</v>
      </c>
      <c r="AC71" s="139">
        <f t="shared" si="28"/>
        <v>0</v>
      </c>
      <c r="AD71" s="89"/>
      <c r="AE71" s="85"/>
      <c r="AF71" s="85"/>
    </row>
    <row r="72" spans="1:34" s="60" customFormat="1" x14ac:dyDescent="0.2">
      <c r="A72" s="125" t="str">
        <f>IF(C72="","",MAX(A$20:A71)+1)</f>
        <v/>
      </c>
      <c r="B72" s="56" t="str">
        <f>IFERROR(VLOOKUP($C72,Таблица!$B$146:$E$146,2,FALSE),"")</f>
        <v/>
      </c>
      <c r="C72" s="48"/>
      <c r="D72" s="48"/>
      <c r="E72" s="50"/>
      <c r="F72" s="50"/>
      <c r="G72" s="50"/>
      <c r="H72" s="56"/>
      <c r="I72" s="56"/>
      <c r="J72" s="56" t="str">
        <f t="shared" si="26"/>
        <v/>
      </c>
      <c r="K72" s="64"/>
      <c r="L72" s="56">
        <f>IFERROR(VLOOKUP($C72,Таблица!$B$146:$K$146,3,FALSE),0)</f>
        <v>0</v>
      </c>
      <c r="M72" s="56" t="str">
        <f>IFERROR(VLOOKUP($C72,Таблица!$B$146:$K$146,5,FALSE),"")</f>
        <v/>
      </c>
      <c r="N72" s="56" t="str">
        <f>IFERROR(VLOOKUP($C72,Таблица!$B$146:$K$146,4,FALSE),"")</f>
        <v/>
      </c>
      <c r="O72" s="56">
        <f t="shared" si="27"/>
        <v>1</v>
      </c>
      <c r="P72" s="51"/>
      <c r="Q72" s="56" t="str">
        <f>IF(OR(AND(ISERROR(VLOOKUP($C72,Таблица!$B$146:$E$146,2,FALSE)),$C72&lt;&gt;""),P72&lt;&gt;""),"√","")</f>
        <v/>
      </c>
      <c r="R72" s="249">
        <f>IFERROR(ROUND(K72*IF(P72="",N72*O72,P72*O72),2),0)</f>
        <v>0</v>
      </c>
      <c r="S72" s="62">
        <f>ROUND(IFERROR(VLOOKUP($C72,Таблица!$B$146:$K$146,6,FALSE),45.5)/100*$AC72,2)</f>
        <v>0</v>
      </c>
      <c r="T72" s="62">
        <f>ROUND(IFERROR(VLOOKUP($C72,Таблица!$B$146:$K$146,7,FALSE),30)/100*$AC72,2)</f>
        <v>0</v>
      </c>
      <c r="U72" s="84">
        <f>ROUND(IFERROR(VLOOKUP($C72,Таблица!$B$146:$K$146,8,FALSE),2.5)/100*$AC72,2)</f>
        <v>0</v>
      </c>
      <c r="V72" s="84">
        <f>ROUND(IFERROR(VLOOKUP($C72,Таблица!$B$146:$K$146,9,FALSE),16)/100*$AC72,2)</f>
        <v>0</v>
      </c>
      <c r="W72" s="84">
        <f>ROUND(IFERROR(VLOOKUP($C72,Таблица!$B$146:$K$146,10,FALSE),6)/100*$AC72,2)</f>
        <v>0</v>
      </c>
      <c r="X72" s="88">
        <f>IF($R72="",0,ROUND($R72*IF($M72&gt;=35,Таблица!$O$44,Таблица!$O$36)*(1+$K$74),2))</f>
        <v>0</v>
      </c>
      <c r="Y72" s="88">
        <f>IF($R72="",0,ROUND($R72*IF($M72&gt;=35,Таблица!$O$45,Таблица!$O$37)*IF($M$12,0.8,1)*(1+$K$74),2))</f>
        <v>0</v>
      </c>
      <c r="Z72" s="88">
        <f>IF($R72="",0,ROUND($R72*IF($M72&gt;=35,Таблица!$O$46,Таблица!$O$38)*(1+$K$74),2))</f>
        <v>0</v>
      </c>
      <c r="AA72" s="88">
        <f>IF($R72="",0,ROUND($R72*IF($M72&gt;=35,Таблица!$O$47,Таблица!$O$39)*(1+$K$74),2))</f>
        <v>0</v>
      </c>
      <c r="AB72" s="88">
        <f>IF($R72="",0,ROUND($R72*IF($M72&gt;=35,Таблица!$O$48,Таблица!$O$40)*(1+$K$74),2))</f>
        <v>0</v>
      </c>
      <c r="AC72" s="139">
        <f t="shared" si="28"/>
        <v>0</v>
      </c>
      <c r="AD72" s="89"/>
      <c r="AE72" s="85"/>
      <c r="AF72" s="85"/>
    </row>
    <row r="73" spans="1:34" s="60" customFormat="1" x14ac:dyDescent="0.2">
      <c r="A73" s="125" t="str">
        <f>IF(C73="","",MAX(A$20:A72)+1)</f>
        <v/>
      </c>
      <c r="B73" s="56" t="str">
        <f>IFERROR(VLOOKUP($C73,Таблица!$B$146:$E$146,2,FALSE),"")</f>
        <v/>
      </c>
      <c r="C73" s="48"/>
      <c r="D73" s="48"/>
      <c r="E73" s="50"/>
      <c r="F73" s="50"/>
      <c r="G73" s="50"/>
      <c r="H73" s="56"/>
      <c r="I73" s="56"/>
      <c r="J73" s="56" t="str">
        <f t="shared" si="26"/>
        <v/>
      </c>
      <c r="K73" s="64"/>
      <c r="L73" s="56">
        <f>IFERROR(VLOOKUP($C73,Таблица!$B$146:$K$146,3,FALSE),0)</f>
        <v>0</v>
      </c>
      <c r="M73" s="56" t="str">
        <f>IFERROR(VLOOKUP($C73,Таблица!$B$146:$K$146,5,FALSE),"")</f>
        <v/>
      </c>
      <c r="N73" s="56" t="str">
        <f>IFERROR(VLOOKUP($C73,Таблица!$B$146:$K$146,4,FALSE),"")</f>
        <v/>
      </c>
      <c r="O73" s="56">
        <f t="shared" si="27"/>
        <v>1</v>
      </c>
      <c r="P73" s="51"/>
      <c r="Q73" s="56" t="str">
        <f>IF(OR(AND(ISERROR(VLOOKUP($C73,Таблица!$B$146:$E$146,2,FALSE)),$C73&lt;&gt;""),P73&lt;&gt;""),"√","")</f>
        <v/>
      </c>
      <c r="R73" s="249">
        <f>IFERROR(ROUND(K73*IF(P73="",N73*O73,P73*O73),2),0)</f>
        <v>0</v>
      </c>
      <c r="S73" s="62">
        <f>ROUND(IFERROR(VLOOKUP($C73,Таблица!$B$146:$K$146,6,FALSE),45.5)/100*$AC73,2)</f>
        <v>0</v>
      </c>
      <c r="T73" s="62">
        <f>ROUND(IFERROR(VLOOKUP($C73,Таблица!$B$146:$K$146,7,FALSE),30)/100*$AC73,2)</f>
        <v>0</v>
      </c>
      <c r="U73" s="84">
        <f>ROUND(IFERROR(VLOOKUP($C73,Таблица!$B$146:$K$146,8,FALSE),2.5)/100*$AC73,2)</f>
        <v>0</v>
      </c>
      <c r="V73" s="84">
        <f>ROUND(IFERROR(VLOOKUP($C73,Таблица!$B$146:$K$146,9,FALSE),16)/100*$AC73,2)</f>
        <v>0</v>
      </c>
      <c r="W73" s="84">
        <f>ROUND(IFERROR(VLOOKUP($C73,Таблица!$B$146:$K$146,10,FALSE),6)/100*$AC73,2)</f>
        <v>0</v>
      </c>
      <c r="X73" s="88">
        <f>IF($R73="",0,ROUND($R73*IF($M73&gt;=35,Таблица!$O$44,Таблица!$O$36)*(1+$K$74),2))</f>
        <v>0</v>
      </c>
      <c r="Y73" s="88">
        <f>IF($R73="",0,ROUND($R73*IF($M73&gt;=35,Таблица!$O$45,Таблица!$O$37)*IF($M$12,0.8,1)*(1+$K$74),2))</f>
        <v>0</v>
      </c>
      <c r="Z73" s="88">
        <f>IF($R73="",0,ROUND($R73*IF($M73&gt;=35,Таблица!$O$46,Таблица!$O$38)*(1+$K$74),2))</f>
        <v>0</v>
      </c>
      <c r="AA73" s="88">
        <f>IF($R73="",0,ROUND($R73*IF($M73&gt;=35,Таблица!$O$47,Таблица!$O$39)*(1+$K$74),2))</f>
        <v>0</v>
      </c>
      <c r="AB73" s="88">
        <f>IF($R73="",0,ROUND($R73*IF($M73&gt;=35,Таблица!$O$48,Таблица!$O$40)*(1+$K$74),2))</f>
        <v>0</v>
      </c>
      <c r="AC73" s="139">
        <f t="shared" si="28"/>
        <v>0</v>
      </c>
      <c r="AD73" s="89"/>
      <c r="AE73" s="85"/>
      <c r="AF73" s="85"/>
    </row>
    <row r="74" spans="1:34" x14ac:dyDescent="0.2">
      <c r="A74" s="114"/>
      <c r="B74" s="1"/>
      <c r="C74" s="1" t="str">
        <f>IF($M$12,"Реконструкция ТП","")</f>
        <v/>
      </c>
      <c r="D74" s="1"/>
      <c r="E74" s="1"/>
      <c r="F74" s="1"/>
      <c r="G74" s="1"/>
      <c r="H74" s="1"/>
      <c r="I74" s="1"/>
      <c r="J74" s="1" t="str">
        <f>IF($M$12,"%","")</f>
        <v/>
      </c>
      <c r="K74" s="12">
        <f>IF($C$12=Таблица!$M$7,Таблица!$Q$7,IF($C$12=Таблица!$M$8,Таблица!$Q$8,1))-1</f>
        <v>0</v>
      </c>
      <c r="L74" s="1"/>
      <c r="M74" s="1"/>
      <c r="N74" s="1"/>
      <c r="O74" s="1"/>
      <c r="P74" s="1"/>
      <c r="Q74" s="1"/>
      <c r="R74" s="249">
        <f>ROUND(SUM(R61:R73)*K74,2)</f>
        <v>0</v>
      </c>
      <c r="S74" s="85"/>
      <c r="T74" s="85"/>
      <c r="U74" s="86"/>
      <c r="V74" s="86"/>
      <c r="W74" s="86"/>
      <c r="AC74" s="89"/>
      <c r="AF74" s="85"/>
    </row>
    <row r="75" spans="1:34" x14ac:dyDescent="0.2">
      <c r="A75" s="114"/>
      <c r="B75" s="1"/>
      <c r="C75" s="15" t="s">
        <v>304</v>
      </c>
      <c r="D75" s="15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249">
        <v>0</v>
      </c>
      <c r="S75" s="85"/>
      <c r="T75" s="85"/>
      <c r="U75" s="86"/>
      <c r="V75" s="86"/>
      <c r="W75" s="86"/>
      <c r="AC75" s="89"/>
      <c r="AF75" s="85"/>
    </row>
    <row r="76" spans="1:34" ht="42.75" customHeight="1" x14ac:dyDescent="0.2">
      <c r="A76" s="114" t="str">
        <f>IF(K76=0,"",MAX(A$20:A75)+1)</f>
        <v/>
      </c>
      <c r="B76" s="1" t="str">
        <f>IFERROR(VLOOKUP($C76,Таблица!$B$149:$E$169,2,FALSE),"")</f>
        <v/>
      </c>
      <c r="C76" s="31"/>
      <c r="D76" s="31"/>
      <c r="E76" s="32"/>
      <c r="F76" s="32"/>
      <c r="G76" s="32"/>
      <c r="H76" s="32"/>
      <c r="I76" s="1" t="str">
        <f>IF(AND(K76&lt;0.1,K76&gt;0),1.35,"")</f>
        <v/>
      </c>
      <c r="J76" s="1" t="str">
        <f>IF($C76="","","км")</f>
        <v/>
      </c>
      <c r="K76" s="42"/>
      <c r="L76" s="1">
        <f>IFERROR(VLOOKUP($C76,Таблица!$B$149:$K$169,3,FALSE),0)</f>
        <v>0</v>
      </c>
      <c r="M76" s="1" t="str">
        <f>IFERROR(VLOOKUP($C76,Таблица!$B$149:$F$169,5,FALSE),"")</f>
        <v/>
      </c>
      <c r="N76" s="1" t="str">
        <f>IFERROR(VLOOKUP($C76,Таблица!$B$149:$E$169,4,FALSE),"")</f>
        <v/>
      </c>
      <c r="O76" s="56">
        <f t="shared" ref="O76:O87" si="29">IF(E76="",1,E76)*IF(F76="",1,F76)*IF(G76="",1,G76)*IF(H76="",1,H76)*IF(I76="",1,I76)</f>
        <v>1</v>
      </c>
      <c r="P76" s="42"/>
      <c r="Q76" s="1" t="str">
        <f>IF(OR(AND(ISERROR(VLOOKUP($C69,Таблица!$B$146:$E$146,2,FALSE)),$C69&lt;&gt;""),P69&lt;&gt;""),"√","")</f>
        <v/>
      </c>
      <c r="R76" s="249">
        <f t="shared" ref="R76:R87" si="30">IFERROR(ROUND(K76*IF(P76="",N76*O76,P76*O76),2),0)</f>
        <v>0</v>
      </c>
      <c r="S76" s="62">
        <f>ROUND(IFERROR(VLOOKUP($C76,Таблица!$B$149:$K$169,6,FALSE),80)/100*$AC76,2)</f>
        <v>0</v>
      </c>
      <c r="T76" s="62">
        <f>ROUND(IFERROR(VLOOKUP($C76,Таблица!$B$149:$K$169,7,FALSE),4)/100*$AC76,2)</f>
        <v>0</v>
      </c>
      <c r="U76" s="84">
        <f>ROUND(IFERROR(VLOOKUP($C76,Таблица!$B$149:$K$169,8,FALSE),0)/100*$AC76,2)</f>
        <v>0</v>
      </c>
      <c r="V76" s="84">
        <f>ROUND(IFERROR(VLOOKUP($C76,Таблица!$B$149:$K$169,9,FALSE),7)/100*$AC76,2)</f>
        <v>0</v>
      </c>
      <c r="W76" s="84">
        <f>ROUND(IFERROR(VLOOKUP($C76,Таблица!$B$149:$K$169,10,FALSE),9)/100*$AC76,2)</f>
        <v>0</v>
      </c>
      <c r="X76" s="88">
        <f>IF($R76="",0,ROUND($R76*IF($M76&gt;=35,Таблица!$O$44,Таблица!$O$36),2))</f>
        <v>0</v>
      </c>
      <c r="Y76" s="88">
        <f>IF($R76="",0,ROUND($R76*IF($M76&gt;=35,Таблица!$O$45,Таблица!$O$37)*IF($M$12,0.8,1),2))</f>
        <v>0</v>
      </c>
      <c r="Z76" s="88">
        <f>IF($R76="",0,ROUND($R76*IF($M76&gt;=35,Таблица!$O$46,Таблица!$O$38),2))</f>
        <v>0</v>
      </c>
      <c r="AA76" s="88">
        <f>IF($R76="",0,ROUND($R76*IF($M76&gt;=35,Таблица!$O$47,Таблица!$O$39),2))</f>
        <v>0</v>
      </c>
      <c r="AB76" s="88">
        <f>IF($R76="",0,ROUND($R76*IF($M76&gt;=35,Таблица!$O$48,Таблица!$O$40),2))</f>
        <v>0</v>
      </c>
      <c r="AC76" s="139">
        <f>IFERROR(R76+SUM(X76:AB76),0)</f>
        <v>0</v>
      </c>
      <c r="AE76" s="85"/>
      <c r="AF76" s="85"/>
    </row>
    <row r="77" spans="1:34" x14ac:dyDescent="0.2">
      <c r="A77" s="114" t="str">
        <f>IF(K77=0,"",MAX(A$20:A76)+1)</f>
        <v/>
      </c>
      <c r="B77" s="1" t="str">
        <f>IFERROR(VLOOKUP($C77,Таблица!$B$149:$E$169,2,FALSE),"")</f>
        <v/>
      </c>
      <c r="C77" s="31"/>
      <c r="D77" s="31"/>
      <c r="E77" s="32"/>
      <c r="F77" s="32"/>
      <c r="G77" s="32"/>
      <c r="H77" s="32"/>
      <c r="I77" s="1" t="str">
        <f>IF(AND(K77&lt;0.1,K77&gt;0),1.35,"")</f>
        <v/>
      </c>
      <c r="J77" s="1" t="str">
        <f>IF($C77="","","км")</f>
        <v/>
      </c>
      <c r="K77" s="42"/>
      <c r="L77" s="45">
        <f>IFERROR(VLOOKUP($C77,Таблица!$B$149:$K$169,3,FALSE),0)</f>
        <v>0</v>
      </c>
      <c r="M77" s="1" t="str">
        <f>IFERROR(VLOOKUP($C77,Таблица!$B$149:$F$169,5,FALSE),"")</f>
        <v/>
      </c>
      <c r="N77" s="1" t="str">
        <f>IFERROR(VLOOKUP($C77,Таблица!$B$149:$E$169,4,FALSE),"")</f>
        <v/>
      </c>
      <c r="O77" s="56">
        <f t="shared" si="29"/>
        <v>1</v>
      </c>
      <c r="P77" s="42"/>
      <c r="Q77" s="1" t="str">
        <f>IF(OR(AND(ISERROR(VLOOKUP($C77,Таблица!$B$149:$E$169,2,FALSE)),$C77&lt;&gt;""),P77&lt;&gt;""),"√","")</f>
        <v/>
      </c>
      <c r="R77" s="249">
        <f t="shared" si="30"/>
        <v>0</v>
      </c>
      <c r="S77" s="62">
        <f>ROUND(IFERROR(VLOOKUP($C77,Таблица!$B$149:$K$169,6,FALSE),80)/100*$AC77,2)</f>
        <v>0</v>
      </c>
      <c r="T77" s="62">
        <f>ROUND(IFERROR(VLOOKUP($C77,Таблица!$B$149:$K$169,7,FALSE),4)/100*$AC77,2)</f>
        <v>0</v>
      </c>
      <c r="U77" s="84">
        <f>ROUND(IFERROR(VLOOKUP($C77,Таблица!$B$149:$K$169,8,FALSE),0)/100*$AC77,2)</f>
        <v>0</v>
      </c>
      <c r="V77" s="84">
        <f>ROUND(IFERROR(VLOOKUP($C77,Таблица!$B$149:$K$169,9,FALSE),7)/100*$AC77,2)</f>
        <v>0</v>
      </c>
      <c r="W77" s="84">
        <f>ROUND(IFERROR(VLOOKUP($C77,Таблица!$B$149:$K$169,10,FALSE),9)/100*$AC77,2)</f>
        <v>0</v>
      </c>
      <c r="X77" s="88">
        <f>IF($R77="",0,ROUND($R77*IF($M77&gt;=35,Таблица!$O$44,Таблица!$O$36),2))</f>
        <v>0</v>
      </c>
      <c r="Y77" s="88">
        <f>IF($R77="",0,ROUND($R77*IF($M77&gt;=35,Таблица!$O$45,Таблица!$O$37)*IF($M$12,0.8,1),2))</f>
        <v>0</v>
      </c>
      <c r="Z77" s="88">
        <f>IF($R77="",0,ROUND($R77*IF($M77&gt;=35,Таблица!$O$46,Таблица!$O$38),2))</f>
        <v>0</v>
      </c>
      <c r="AA77" s="88">
        <f>IF($R77="",0,ROUND($R77*IF($M77&gt;=35,Таблица!$O$47,Таблица!$O$39),2))</f>
        <v>0</v>
      </c>
      <c r="AB77" s="88">
        <f>IF($R77="",0,ROUND($R77*IF($M77&gt;=35,Таблица!$O$48,Таблица!$O$40),2))</f>
        <v>0</v>
      </c>
      <c r="AC77" s="139">
        <f t="shared" ref="AC77:AC87" si="31">IFERROR(R77+SUM(X77:AB77),0)</f>
        <v>0</v>
      </c>
      <c r="AE77" s="85"/>
      <c r="AF77" s="85"/>
    </row>
    <row r="78" spans="1:34" x14ac:dyDescent="0.2">
      <c r="A78" s="114" t="str">
        <f>IF(K78=0,"",MAX(A$20:A77)+1)</f>
        <v/>
      </c>
      <c r="B78" s="1" t="str">
        <f>IFERROR(VLOOKUP($C78,Таблица!$B$149:$E$169,2,FALSE),"")</f>
        <v/>
      </c>
      <c r="C78" s="31"/>
      <c r="D78" s="31"/>
      <c r="E78" s="32"/>
      <c r="F78" s="32"/>
      <c r="G78" s="32"/>
      <c r="H78" s="32"/>
      <c r="I78" s="1" t="str">
        <f>IF(AND(K78&lt;0.1,K78&gt;0),1.35,"")</f>
        <v/>
      </c>
      <c r="J78" s="1" t="str">
        <f>IF($C78="","","км")</f>
        <v/>
      </c>
      <c r="K78" s="51"/>
      <c r="L78" s="45">
        <f>IFERROR(VLOOKUP($C78,Таблица!$B$149:$K$169,3,FALSE),0)</f>
        <v>0</v>
      </c>
      <c r="M78" s="1" t="str">
        <f>IFERROR(VLOOKUP($C78,Таблица!$B$149:$F$169,5,FALSE),"")</f>
        <v/>
      </c>
      <c r="N78" s="1" t="str">
        <f>IFERROR(VLOOKUP($C78,Таблица!$B$149:$E$169,4,FALSE),"")</f>
        <v/>
      </c>
      <c r="O78" s="56">
        <f t="shared" si="29"/>
        <v>1</v>
      </c>
      <c r="P78" s="51"/>
      <c r="Q78" s="1" t="str">
        <f>IF(OR(AND(ISERROR(VLOOKUP($C78,Таблица!$B$149:$E$169,2,FALSE)),$C78&lt;&gt;""),P78&lt;&gt;""),"√","")</f>
        <v/>
      </c>
      <c r="R78" s="249">
        <f t="shared" si="30"/>
        <v>0</v>
      </c>
      <c r="S78" s="62">
        <f>ROUND(IFERROR(VLOOKUP($C78,Таблица!$B$149:$K$169,6,FALSE),80)/100*$AC78,2)</f>
        <v>0</v>
      </c>
      <c r="T78" s="62">
        <f>ROUND(IFERROR(VLOOKUP($C78,Таблица!$B$149:$K$169,7,FALSE),4)/100*$AC78,2)</f>
        <v>0</v>
      </c>
      <c r="U78" s="84">
        <f>ROUND(IFERROR(VLOOKUP($C78,Таблица!$B$149:$K$169,8,FALSE),0)/100*$AC78,2)</f>
        <v>0</v>
      </c>
      <c r="V78" s="84">
        <f>ROUND(IFERROR(VLOOKUP($C78,Таблица!$B$149:$K$169,9,FALSE),7)/100*$AC78,2)</f>
        <v>0</v>
      </c>
      <c r="W78" s="84">
        <f>ROUND(IFERROR(VLOOKUP($C78,Таблица!$B$149:$K$169,10,FALSE),9)/100*$AC78,2)</f>
        <v>0</v>
      </c>
      <c r="X78" s="88">
        <f>IF($R78="",0,ROUND($R78*IF($M78&gt;=35,Таблица!$O$44,Таблица!$O$36),2))</f>
        <v>0</v>
      </c>
      <c r="Y78" s="88">
        <f>IF($R78="",0,ROUND($R78*IF($M78&gt;=35,Таблица!$O$45,Таблица!$O$37)*IF($M$12,0.8,1),2))</f>
        <v>0</v>
      </c>
      <c r="Z78" s="88">
        <f>IF($R78="",0,ROUND($R78*IF($M78&gt;=35,Таблица!$O$46,Таблица!$O$38),2))</f>
        <v>0</v>
      </c>
      <c r="AA78" s="88">
        <f>IF($R78="",0,ROUND($R78*IF($M78&gt;=35,Таблица!$O$47,Таблица!$O$39),2))</f>
        <v>0</v>
      </c>
      <c r="AB78" s="88">
        <f>IF($R78="",0,ROUND($R78*IF($M78&gt;=35,Таблица!$O$48,Таблица!$O$40),2))</f>
        <v>0</v>
      </c>
      <c r="AC78" s="139">
        <f t="shared" si="31"/>
        <v>0</v>
      </c>
      <c r="AE78" s="85"/>
      <c r="AF78" s="85"/>
    </row>
    <row r="79" spans="1:34" s="44" customFormat="1" x14ac:dyDescent="0.2">
      <c r="A79" s="114" t="str">
        <f>IF(K79=0,"",MAX(A$20:A78)+1)</f>
        <v/>
      </c>
      <c r="B79" s="45" t="str">
        <f>IFERROR(VLOOKUP($C79,Таблица!$B$172:$E$179,2,FALSE),"")</f>
        <v/>
      </c>
      <c r="C79" s="48"/>
      <c r="D79" s="31"/>
      <c r="E79" s="32"/>
      <c r="F79" s="32"/>
      <c r="G79" s="32"/>
      <c r="H79" s="32"/>
      <c r="I79" s="45" t="str">
        <f t="shared" ref="I79:I87" si="32">IF(AND(K79&lt;0.1,K79&gt;0),1.35,"")</f>
        <v/>
      </c>
      <c r="J79" s="45" t="str">
        <f>IF($C79="","","шт")</f>
        <v/>
      </c>
      <c r="K79" s="51"/>
      <c r="L79" s="45">
        <f>IFERROR(VLOOKUP($C79,Таблица!$B$172:$K$179,3,FALSE),0)</f>
        <v>0</v>
      </c>
      <c r="M79" s="45" t="str">
        <f>IFERROR(VLOOKUP($C79,Таблица!$B$172:$F$179,5,FALSE),"")</f>
        <v/>
      </c>
      <c r="N79" s="45" t="str">
        <f>IFERROR(VLOOKUP($C79,Таблица!$B$172:$E$179,4,FALSE),"")</f>
        <v/>
      </c>
      <c r="O79" s="56">
        <f t="shared" si="29"/>
        <v>1</v>
      </c>
      <c r="P79" s="51"/>
      <c r="Q79" s="45" t="str">
        <f>IF(OR(AND(ISERROR(VLOOKUP($C79,Таблица!$B$172:$E$179,2,FALSE)),$C79&lt;&gt;""),P79&lt;&gt;""),"√","")</f>
        <v/>
      </c>
      <c r="R79" s="249">
        <f t="shared" si="30"/>
        <v>0</v>
      </c>
      <c r="S79" s="62">
        <f>ROUND(IFERROR(VLOOKUP($C79,Таблица!$B$149:$K$169,6,FALSE),80)/100*$AC79,2)</f>
        <v>0</v>
      </c>
      <c r="T79" s="62">
        <f>ROUND(IFERROR(VLOOKUP($C79,Таблица!$B$149:$K$169,7,FALSE),4)/100*$AC79,2)</f>
        <v>0</v>
      </c>
      <c r="U79" s="84">
        <f>ROUND(IFERROR(VLOOKUP($C79,Таблица!$B$149:$K$169,8,FALSE),0)/100*$AC79,2)</f>
        <v>0</v>
      </c>
      <c r="V79" s="84">
        <f>ROUND(IFERROR(VLOOKUP($C79,Таблица!$B$149:$K$169,9,FALSE),7)/100*$AC79,2)</f>
        <v>0</v>
      </c>
      <c r="W79" s="84">
        <f>ROUND(IFERROR(VLOOKUP($C79,Таблица!$B$149:$K$169,10,FALSE),9)/100*$AC79,2)</f>
        <v>0</v>
      </c>
      <c r="X79" s="88">
        <f>IF($R79="",0,ROUND($R79*IF($M79&gt;=35,Таблица!$O$44,Таблица!$O$36),2))</f>
        <v>0</v>
      </c>
      <c r="Y79" s="88">
        <f>IF($R79="",0,ROUND($R79*IF($M79&gt;=35,Таблица!$O$45,Таблица!$O$37)*IF($M$12,0.8,1),2))</f>
        <v>0</v>
      </c>
      <c r="Z79" s="88">
        <f>IF($R79="",0,ROUND($R79*IF($M79&gt;=35,Таблица!$O$46,Таблица!$O$38),2))</f>
        <v>0</v>
      </c>
      <c r="AA79" s="88">
        <f>IF($R79="",0,ROUND($R79*IF($M79&gt;=35,Таблица!$O$47,Таблица!$O$39),2))</f>
        <v>0</v>
      </c>
      <c r="AB79" s="88">
        <f>IF($R79="",0,ROUND($R79*IF($M79&gt;=35,Таблица!$O$48,Таблица!$O$40),2))</f>
        <v>0</v>
      </c>
      <c r="AC79" s="139">
        <f t="shared" si="31"/>
        <v>0</v>
      </c>
      <c r="AD79" s="89"/>
      <c r="AE79" s="85"/>
      <c r="AF79" s="85"/>
      <c r="AG79" s="60"/>
      <c r="AH79" s="60"/>
    </row>
    <row r="80" spans="1:34" s="44" customFormat="1" x14ac:dyDescent="0.2">
      <c r="A80" s="114" t="str">
        <f>IF(K80=0,"",MAX(A$20:A79)+1)</f>
        <v/>
      </c>
      <c r="B80" s="45" t="str">
        <f>IFERROR(VLOOKUP($C80,Таблица!$B$172:$E$179,2,FALSE),"")</f>
        <v/>
      </c>
      <c r="C80" s="31"/>
      <c r="D80" s="31"/>
      <c r="E80" s="32"/>
      <c r="F80" s="32"/>
      <c r="G80" s="32"/>
      <c r="H80" s="32"/>
      <c r="I80" s="45" t="str">
        <f t="shared" si="32"/>
        <v/>
      </c>
      <c r="J80" s="45" t="str">
        <f t="shared" ref="J80:J81" si="33">IF($C80="","","шт")</f>
        <v/>
      </c>
      <c r="K80" s="51"/>
      <c r="L80" s="45">
        <f>IFERROR(VLOOKUP($C80,Таблица!$B$172:$K$179,3,FALSE),0)</f>
        <v>0</v>
      </c>
      <c r="M80" s="45" t="str">
        <f>IFERROR(VLOOKUP($C80,Таблица!$B$172:$F$179,5,FALSE),"")</f>
        <v/>
      </c>
      <c r="N80" s="45" t="str">
        <f>IFERROR(VLOOKUP($C80,Таблица!$B$172:$E$179,4,FALSE),"")</f>
        <v/>
      </c>
      <c r="O80" s="56">
        <f t="shared" si="29"/>
        <v>1</v>
      </c>
      <c r="P80" s="51"/>
      <c r="Q80" s="45" t="str">
        <f>IF(OR(AND(ISERROR(VLOOKUP($C80,Таблица!$B$172:$E$179,2,FALSE)),$C80&lt;&gt;""),P80&lt;&gt;""),"√","")</f>
        <v/>
      </c>
      <c r="R80" s="249">
        <f t="shared" si="30"/>
        <v>0</v>
      </c>
      <c r="S80" s="62">
        <f>ROUND(IFERROR(VLOOKUP($C80,Таблица!$B$149:$K$169,6,FALSE),80)/100*$AC80,2)</f>
        <v>0</v>
      </c>
      <c r="T80" s="62">
        <f>ROUND(IFERROR(VLOOKUP($C80,Таблица!$B$149:$K$169,7,FALSE),4)/100*$AC80,2)</f>
        <v>0</v>
      </c>
      <c r="U80" s="84">
        <f>ROUND(IFERROR(VLOOKUP($C80,Таблица!$B$149:$K$169,8,FALSE),0)/100*$AC80,2)</f>
        <v>0</v>
      </c>
      <c r="V80" s="84">
        <f>ROUND(IFERROR(VLOOKUP($C80,Таблица!$B$149:$K$169,9,FALSE),7)/100*$AC80,2)</f>
        <v>0</v>
      </c>
      <c r="W80" s="84">
        <f>ROUND(IFERROR(VLOOKUP($C80,Таблица!$B$149:$K$169,10,FALSE),9)/100*$AC80,2)</f>
        <v>0</v>
      </c>
      <c r="X80" s="88">
        <f>IF($R80="",0,ROUND($R80*IF($M80&gt;=35,Таблица!$O$44,Таблица!$O$36),2))</f>
        <v>0</v>
      </c>
      <c r="Y80" s="88">
        <f>IF($R80="",0,ROUND($R80*IF($M80&gt;=35,Таблица!$O$45,Таблица!$O$37)*IF($M$12,0.8,1),2))</f>
        <v>0</v>
      </c>
      <c r="Z80" s="88">
        <f>IF($R80="",0,ROUND($R80*IF($M80&gt;=35,Таблица!$O$46,Таблица!$O$38),2))</f>
        <v>0</v>
      </c>
      <c r="AA80" s="88">
        <f>IF($R80="",0,ROUND($R80*IF($M80&gt;=35,Таблица!$O$47,Таблица!$O$39),2))</f>
        <v>0</v>
      </c>
      <c r="AB80" s="88">
        <f>IF($R80="",0,ROUND($R80*IF($M80&gt;=35,Таблица!$O$48,Таблица!$O$40),2))</f>
        <v>0</v>
      </c>
      <c r="AC80" s="139">
        <f t="shared" si="31"/>
        <v>0</v>
      </c>
      <c r="AD80" s="89"/>
      <c r="AE80" s="85"/>
      <c r="AF80" s="85"/>
      <c r="AG80" s="60"/>
      <c r="AH80" s="60"/>
    </row>
    <row r="81" spans="1:34" s="44" customFormat="1" x14ac:dyDescent="0.2">
      <c r="A81" s="114" t="str">
        <f>IF(K81=0,"",MAX(A$20:A80)+1)</f>
        <v/>
      </c>
      <c r="B81" s="45" t="str">
        <f>IFERROR(VLOOKUP($C81,Таблица!$B$172:$E$179,2,FALSE),"")</f>
        <v/>
      </c>
      <c r="C81" s="31"/>
      <c r="D81" s="31"/>
      <c r="E81" s="32"/>
      <c r="F81" s="32"/>
      <c r="G81" s="32"/>
      <c r="H81" s="32"/>
      <c r="I81" s="45" t="str">
        <f t="shared" si="32"/>
        <v/>
      </c>
      <c r="J81" s="45" t="str">
        <f t="shared" si="33"/>
        <v/>
      </c>
      <c r="K81" s="51"/>
      <c r="L81" s="45">
        <f>IFERROR(VLOOKUP($C81,Таблица!$B$172:$K$179,3,FALSE),0)</f>
        <v>0</v>
      </c>
      <c r="M81" s="45" t="str">
        <f>IFERROR(VLOOKUP($C81,Таблица!$B$172:$F$179,5,FALSE),"")</f>
        <v/>
      </c>
      <c r="N81" s="45" t="str">
        <f>IFERROR(VLOOKUP($C81,Таблица!$B$172:$E$179,4,FALSE),"")</f>
        <v/>
      </c>
      <c r="O81" s="56">
        <f t="shared" si="29"/>
        <v>1</v>
      </c>
      <c r="P81" s="51"/>
      <c r="Q81" s="45" t="str">
        <f>IF(OR(AND(ISERROR(VLOOKUP($C81,Таблица!$B$172:$E$179,2,FALSE)),$C81&lt;&gt;""),P81&lt;&gt;""),"√","")</f>
        <v/>
      </c>
      <c r="R81" s="249">
        <f t="shared" si="30"/>
        <v>0</v>
      </c>
      <c r="S81" s="62">
        <f>ROUND(IFERROR(VLOOKUP($C81,Таблица!$B$149:$K$169,6,FALSE),80)/100*$AC81,2)</f>
        <v>0</v>
      </c>
      <c r="T81" s="62">
        <f>ROUND(IFERROR(VLOOKUP($C81,Таблица!$B$149:$K$169,7,FALSE),4)/100*$AC81,2)</f>
        <v>0</v>
      </c>
      <c r="U81" s="84">
        <f>ROUND(IFERROR(VLOOKUP($C81,Таблица!$B$149:$K$169,8,FALSE),0)/100*$AC81,2)</f>
        <v>0</v>
      </c>
      <c r="V81" s="84">
        <f>ROUND(IFERROR(VLOOKUP($C81,Таблица!$B$149:$K$169,9,FALSE),7)/100*$AC81,2)</f>
        <v>0</v>
      </c>
      <c r="W81" s="84">
        <f>ROUND(IFERROR(VLOOKUP($C81,Таблица!$B$149:$K$169,10,FALSE),9)/100*$AC81,2)</f>
        <v>0</v>
      </c>
      <c r="X81" s="88">
        <f>IF($R81="",0,ROUND($R81*IF($M81&gt;=35,Таблица!$O$44,Таблица!$O$36),2))</f>
        <v>0</v>
      </c>
      <c r="Y81" s="88">
        <f>IF($R81="",0,ROUND($R81*IF($M81&gt;=35,Таблица!$O$45,Таблица!$O$37)*IF($M$12,0.8,1),2))</f>
        <v>0</v>
      </c>
      <c r="Z81" s="88">
        <f>IF($R81="",0,ROUND($R81*IF($M81&gt;=35,Таблица!$O$46,Таблица!$O$38),2))</f>
        <v>0</v>
      </c>
      <c r="AA81" s="88">
        <f>IF($R81="",0,ROUND($R81*IF($M81&gt;=35,Таблица!$O$47,Таблица!$O$39),2))</f>
        <v>0</v>
      </c>
      <c r="AB81" s="88">
        <f>IF($R81="",0,ROUND($R81*IF($M81&gt;=35,Таблица!$O$48,Таблица!$O$40),2))</f>
        <v>0</v>
      </c>
      <c r="AC81" s="139">
        <f t="shared" si="31"/>
        <v>0</v>
      </c>
      <c r="AD81" s="89"/>
      <c r="AE81" s="85"/>
      <c r="AF81" s="85"/>
      <c r="AG81" s="60"/>
      <c r="AH81" s="60"/>
    </row>
    <row r="82" spans="1:34" s="44" customFormat="1" x14ac:dyDescent="0.2">
      <c r="A82" s="114" t="str">
        <f>IF(K82=0,"",MAX(A$20:A81)+1)</f>
        <v/>
      </c>
      <c r="B82" s="45" t="str">
        <f>IFERROR(VLOOKUP($C82,Таблица!$B$182:$E$190,2,FALSE),"")</f>
        <v/>
      </c>
      <c r="C82" s="31"/>
      <c r="D82" s="31"/>
      <c r="E82" s="32"/>
      <c r="F82" s="32"/>
      <c r="G82" s="32"/>
      <c r="H82" s="32"/>
      <c r="I82" s="45" t="str">
        <f t="shared" si="32"/>
        <v/>
      </c>
      <c r="J82" s="45" t="str">
        <f>IF($C82="","","м3")</f>
        <v/>
      </c>
      <c r="K82" s="51"/>
      <c r="L82" s="45">
        <f>IFERROR(VLOOKUP($C82,Таблица!$B$182:$K$190,3,FALSE),0)</f>
        <v>0</v>
      </c>
      <c r="M82" s="45" t="str">
        <f>IFERROR(VLOOKUP($C82,Таблица!$B$182:$F$190,5,FALSE),"")</f>
        <v/>
      </c>
      <c r="N82" s="45" t="str">
        <f>IFERROR(VLOOKUP($C82,Таблица!$B$182:$E$190,4,FALSE),"")</f>
        <v/>
      </c>
      <c r="O82" s="56">
        <f t="shared" si="29"/>
        <v>1</v>
      </c>
      <c r="P82" s="51"/>
      <c r="Q82" s="45" t="str">
        <f>IF(OR(AND(ISERROR(VLOOKUP($C82,Таблица!$B$182:$E$190,2,FALSE)),$C82&lt;&gt;""),P82&lt;&gt;""),"√","")</f>
        <v/>
      </c>
      <c r="R82" s="249">
        <f t="shared" si="30"/>
        <v>0</v>
      </c>
      <c r="S82" s="62">
        <f>ROUND(IFERROR(VLOOKUP($C82,Таблица!$B$149:$K$169,6,FALSE),80)/100*$AC82,2)</f>
        <v>0</v>
      </c>
      <c r="T82" s="62">
        <f>ROUND(IFERROR(VLOOKUP($C82,Таблица!$B$149:$K$169,7,FALSE),4)/100*$AC82,2)</f>
        <v>0</v>
      </c>
      <c r="U82" s="84">
        <f>ROUND(IFERROR(VLOOKUP($C82,Таблица!$B$149:$K$169,8,FALSE),0)/100*$AC82,2)</f>
        <v>0</v>
      </c>
      <c r="V82" s="84">
        <f>ROUND(IFERROR(VLOOKUP($C82,Таблица!$B$149:$K$169,9,FALSE),7)/100*$AC82,2)</f>
        <v>0</v>
      </c>
      <c r="W82" s="84">
        <f>ROUND(IFERROR(VLOOKUP($C82,Таблица!$B$149:$K$169,10,FALSE),9)/100*$AC82,2)</f>
        <v>0</v>
      </c>
      <c r="X82" s="88">
        <f>IF($R82="",0,ROUND($R82*IF($M82&gt;=35,Таблица!$O$44,Таблица!$O$36),2))</f>
        <v>0</v>
      </c>
      <c r="Y82" s="88">
        <f>IF($R82="",0,ROUND($R82*IF($M82&gt;=35,Таблица!$O$45,Таблица!$O$37)*IF($M$12,0.8,1),2))</f>
        <v>0</v>
      </c>
      <c r="Z82" s="88">
        <f>IF($R82="",0,ROUND($R82*IF($M82&gt;=35,Таблица!$O$46,Таблица!$O$38),2))</f>
        <v>0</v>
      </c>
      <c r="AA82" s="88">
        <f>IF($R82="",0,ROUND($R82*IF($M82&gt;=35,Таблица!$O$47,Таблица!$O$39),2))</f>
        <v>0</v>
      </c>
      <c r="AB82" s="88">
        <f>IF($R82="",0,ROUND($R82*IF($M82&gt;=35,Таблица!$O$48,Таблица!$O$40),2))</f>
        <v>0</v>
      </c>
      <c r="AC82" s="139">
        <f t="shared" si="31"/>
        <v>0</v>
      </c>
      <c r="AD82" s="89"/>
      <c r="AE82" s="85"/>
      <c r="AF82" s="85"/>
      <c r="AG82" s="60"/>
      <c r="AH82" s="60"/>
    </row>
    <row r="83" spans="1:34" s="44" customFormat="1" x14ac:dyDescent="0.2">
      <c r="A83" s="114" t="str">
        <f>IF(K83=0,"",MAX(A$20:A82)+1)</f>
        <v/>
      </c>
      <c r="B83" s="45" t="str">
        <f>IFERROR(VLOOKUP($C83,Таблица!$B$182:$E$190,2,FALSE),"")</f>
        <v/>
      </c>
      <c r="C83" s="31"/>
      <c r="D83" s="31"/>
      <c r="E83" s="32"/>
      <c r="F83" s="32"/>
      <c r="G83" s="32"/>
      <c r="H83" s="32"/>
      <c r="I83" s="45" t="str">
        <f t="shared" si="32"/>
        <v/>
      </c>
      <c r="J83" s="45" t="str">
        <f t="shared" ref="J83:J84" si="34">IF($C83="","","м3")</f>
        <v/>
      </c>
      <c r="K83" s="51"/>
      <c r="L83" s="45">
        <f>IFERROR(VLOOKUP($C83,Таблица!$B$182:$K$190,3,FALSE),0)</f>
        <v>0</v>
      </c>
      <c r="M83" s="45" t="str">
        <f>IFERROR(VLOOKUP($C83,Таблица!$B$182:$F$190,5,FALSE),"")</f>
        <v/>
      </c>
      <c r="N83" s="45" t="str">
        <f>IFERROR(VLOOKUP($C83,Таблица!$B$182:$E$190,4,FALSE),"")</f>
        <v/>
      </c>
      <c r="O83" s="56">
        <f t="shared" si="29"/>
        <v>1</v>
      </c>
      <c r="P83" s="51"/>
      <c r="Q83" s="45" t="str">
        <f>IF(OR(AND(ISERROR(VLOOKUP($C83,Таблица!$B$182:$E$190,2,FALSE)),$C83&lt;&gt;""),P83&lt;&gt;""),"√","")</f>
        <v/>
      </c>
      <c r="R83" s="249">
        <f t="shared" si="30"/>
        <v>0</v>
      </c>
      <c r="S83" s="62">
        <f>ROUND(IFERROR(VLOOKUP($C83,Таблица!$B$149:$K$169,6,FALSE),80)/100*$AC83,2)</f>
        <v>0</v>
      </c>
      <c r="T83" s="62">
        <f>ROUND(IFERROR(VLOOKUP($C83,Таблица!$B$149:$K$169,7,FALSE),4)/100*$AC83,2)</f>
        <v>0</v>
      </c>
      <c r="U83" s="84">
        <f>ROUND(IFERROR(VLOOKUP($C83,Таблица!$B$149:$K$169,8,FALSE),0)/100*$AC83,2)</f>
        <v>0</v>
      </c>
      <c r="V83" s="84">
        <f>ROUND(IFERROR(VLOOKUP($C83,Таблица!$B$149:$K$169,9,FALSE),7)/100*$AC83,2)</f>
        <v>0</v>
      </c>
      <c r="W83" s="84">
        <f>ROUND(IFERROR(VLOOKUP($C83,Таблица!$B$149:$K$169,10,FALSE),9)/100*$AC83,2)</f>
        <v>0</v>
      </c>
      <c r="X83" s="88">
        <f>IF($R83="",0,ROUND($R83*IF($M83&gt;=35,Таблица!$O$44,Таблица!$O$36),2))</f>
        <v>0</v>
      </c>
      <c r="Y83" s="88">
        <f>IF($R83="",0,ROUND($R83*IF($M83&gt;=35,Таблица!$O$45,Таблица!$O$37)*IF($M$12,0.8,1),2))</f>
        <v>0</v>
      </c>
      <c r="Z83" s="88">
        <f>IF($R83="",0,ROUND($R83*IF($M83&gt;=35,Таблица!$O$46,Таблица!$O$38),2))</f>
        <v>0</v>
      </c>
      <c r="AA83" s="88">
        <f>IF($R83="",0,ROUND($R83*IF($M83&gt;=35,Таблица!$O$47,Таблица!$O$39),2))</f>
        <v>0</v>
      </c>
      <c r="AB83" s="88">
        <f>IF($R83="",0,ROUND($R83*IF($M83&gt;=35,Таблица!$O$48,Таблица!$O$40),2))</f>
        <v>0</v>
      </c>
      <c r="AC83" s="139">
        <f t="shared" si="31"/>
        <v>0</v>
      </c>
      <c r="AD83" s="89"/>
      <c r="AE83" s="85"/>
      <c r="AF83" s="85"/>
      <c r="AG83" s="60"/>
      <c r="AH83" s="60"/>
    </row>
    <row r="84" spans="1:34" s="44" customFormat="1" x14ac:dyDescent="0.2">
      <c r="A84" s="114" t="str">
        <f>IF(K84=0,"",MAX(A$20:A83)+1)</f>
        <v/>
      </c>
      <c r="B84" s="45" t="str">
        <f>IFERROR(VLOOKUP($C84,Таблица!$B$182:$E$190,2,FALSE),"")</f>
        <v/>
      </c>
      <c r="C84" s="31"/>
      <c r="D84" s="31"/>
      <c r="E84" s="32"/>
      <c r="F84" s="32"/>
      <c r="G84" s="32"/>
      <c r="H84" s="32"/>
      <c r="I84" s="45" t="str">
        <f t="shared" si="32"/>
        <v/>
      </c>
      <c r="J84" s="45" t="str">
        <f t="shared" si="34"/>
        <v/>
      </c>
      <c r="K84" s="51"/>
      <c r="L84" s="45">
        <f>IFERROR(VLOOKUP($C84,Таблица!$B$182:$K$190,3,FALSE),0)</f>
        <v>0</v>
      </c>
      <c r="M84" s="45" t="str">
        <f>IFERROR(VLOOKUP($C84,Таблица!$B$182:$F$190,5,FALSE),"")</f>
        <v/>
      </c>
      <c r="N84" s="45" t="str">
        <f>IFERROR(VLOOKUP($C84,Таблица!$B$182:$E$190,4,FALSE),"")</f>
        <v/>
      </c>
      <c r="O84" s="56">
        <f t="shared" si="29"/>
        <v>1</v>
      </c>
      <c r="P84" s="51"/>
      <c r="Q84" s="45" t="str">
        <f>IF(OR(AND(ISERROR(VLOOKUP($C84,Таблица!$B$182:$E$190,2,FALSE)),$C84&lt;&gt;""),P84&lt;&gt;""),"√","")</f>
        <v/>
      </c>
      <c r="R84" s="249">
        <f t="shared" si="30"/>
        <v>0</v>
      </c>
      <c r="S84" s="62">
        <f>ROUND(IFERROR(VLOOKUP($C84,Таблица!$B$149:$K$169,6,FALSE),80)/100*$AC84,2)</f>
        <v>0</v>
      </c>
      <c r="T84" s="62">
        <f>ROUND(IFERROR(VLOOKUP($C84,Таблица!$B$149:$K$169,7,FALSE),4)/100*$AC84,2)</f>
        <v>0</v>
      </c>
      <c r="U84" s="84">
        <f>ROUND(IFERROR(VLOOKUP($C84,Таблица!$B$149:$K$169,8,FALSE),0)/100*$AC84,2)</f>
        <v>0</v>
      </c>
      <c r="V84" s="84">
        <f>ROUND(IFERROR(VLOOKUP($C84,Таблица!$B$149:$K$169,9,FALSE),7)/100*$AC84,2)</f>
        <v>0</v>
      </c>
      <c r="W84" s="84">
        <f>ROUND(IFERROR(VLOOKUP($C84,Таблица!$B$149:$K$169,10,FALSE),9)/100*$AC84,2)</f>
        <v>0</v>
      </c>
      <c r="X84" s="88">
        <f>IF($R84="",0,ROUND($R84*IF($M84&gt;=35,Таблица!$O$44,Таблица!$O$36),2))</f>
        <v>0</v>
      </c>
      <c r="Y84" s="88">
        <f>IF($R84="",0,ROUND($R84*IF($M84&gt;=35,Таблица!$O$45,Таблица!$O$37)*IF($M$12,0.8,1),2))</f>
        <v>0</v>
      </c>
      <c r="Z84" s="88">
        <f>IF($R84="",0,ROUND($R84*IF($M84&gt;=35,Таблица!$O$46,Таблица!$O$38),2))</f>
        <v>0</v>
      </c>
      <c r="AA84" s="88">
        <f>IF($R84="",0,ROUND($R84*IF($M84&gt;=35,Таблица!$O$47,Таблица!$O$39),2))</f>
        <v>0</v>
      </c>
      <c r="AB84" s="88">
        <f>IF($R84="",0,ROUND($R84*IF($M84&gt;=35,Таблица!$O$48,Таблица!$O$40),2))</f>
        <v>0</v>
      </c>
      <c r="AC84" s="139">
        <f t="shared" si="31"/>
        <v>0</v>
      </c>
      <c r="AD84" s="89"/>
      <c r="AE84" s="85"/>
      <c r="AF84" s="85"/>
      <c r="AG84" s="60"/>
      <c r="AH84" s="60"/>
    </row>
    <row r="85" spans="1:34" s="44" customFormat="1" x14ac:dyDescent="0.2">
      <c r="A85" s="114" t="str">
        <f>IF(K85=0,"",MAX(A$20:A84)+1)</f>
        <v/>
      </c>
      <c r="B85" s="45" t="str">
        <f>IFERROR(VLOOKUP($C85,Таблица!$B$193:$E$201,2,FALSE),"")</f>
        <v/>
      </c>
      <c r="C85" s="31"/>
      <c r="D85" s="31"/>
      <c r="E85" s="32"/>
      <c r="F85" s="32"/>
      <c r="G85" s="32"/>
      <c r="H85" s="32"/>
      <c r="I85" s="45" t="str">
        <f t="shared" si="32"/>
        <v/>
      </c>
      <c r="J85" s="45" t="str">
        <f>IF($C85="","","т")</f>
        <v/>
      </c>
      <c r="K85" s="51"/>
      <c r="L85" s="45">
        <f>IFERROR(VLOOKUP($C85,Таблица!$B$193:$K$201,3,FALSE),0)</f>
        <v>0</v>
      </c>
      <c r="M85" s="45" t="str">
        <f>IFERROR(VLOOKUP($C85,Таблица!$B$193:$F$201,5,FALSE),"")</f>
        <v/>
      </c>
      <c r="N85" s="45" t="str">
        <f>IFERROR(VLOOKUP($C85,Таблица!$B$193:$E$201,4,FALSE),"")</f>
        <v/>
      </c>
      <c r="O85" s="56">
        <f t="shared" si="29"/>
        <v>1</v>
      </c>
      <c r="P85" s="51"/>
      <c r="Q85" s="45" t="str">
        <f>IF(OR(AND(ISERROR(VLOOKUP($C85,Таблица!$B$193:$E$201,2,FALSE)),$C85&lt;&gt;""),P85&lt;&gt;""),"√","")</f>
        <v/>
      </c>
      <c r="R85" s="249">
        <f t="shared" si="30"/>
        <v>0</v>
      </c>
      <c r="S85" s="62">
        <f>ROUND(IFERROR(VLOOKUP($C85,Таблица!$B$149:$K$169,6,FALSE),80)/100*$AC85,2)</f>
        <v>0</v>
      </c>
      <c r="T85" s="62">
        <f>ROUND(IFERROR(VLOOKUP($C85,Таблица!$B$149:$K$169,7,FALSE),4)/100*$AC85,2)</f>
        <v>0</v>
      </c>
      <c r="U85" s="84">
        <f>ROUND(IFERROR(VLOOKUP($C85,Таблица!$B$149:$K$169,8,FALSE),0)/100*$AC85,2)</f>
        <v>0</v>
      </c>
      <c r="V85" s="84">
        <f>ROUND(IFERROR(VLOOKUP($C85,Таблица!$B$149:$K$169,9,FALSE),7)/100*$AC85,2)</f>
        <v>0</v>
      </c>
      <c r="W85" s="84">
        <f>ROUND(IFERROR(VLOOKUP($C85,Таблица!$B$149:$K$169,10,FALSE),9)/100*$AC85,2)</f>
        <v>0</v>
      </c>
      <c r="X85" s="88">
        <f>IF($R85="",0,ROUND($R85*IF($M85&gt;=35,Таблица!$O$44,Таблица!$O$36),2))</f>
        <v>0</v>
      </c>
      <c r="Y85" s="88">
        <f>IF($R85="",0,ROUND($R85*IF($M85&gt;=35,Таблица!$O$45,Таблица!$O$37)*IF($M$12,0.8,1),2))</f>
        <v>0</v>
      </c>
      <c r="Z85" s="88">
        <f>IF($R85="",0,ROUND($R85*IF($M85&gt;=35,Таблица!$O$46,Таблица!$O$38),2))</f>
        <v>0</v>
      </c>
      <c r="AA85" s="88">
        <f>IF($R85="",0,ROUND($R85*IF($M85&gt;=35,Таблица!$O$47,Таблица!$O$39),2))</f>
        <v>0</v>
      </c>
      <c r="AB85" s="88">
        <f>IF($R85="",0,ROUND($R85*IF($M85&gt;=35,Таблица!$O$48,Таблица!$O$40),2))</f>
        <v>0</v>
      </c>
      <c r="AC85" s="139">
        <f t="shared" si="31"/>
        <v>0</v>
      </c>
      <c r="AD85" s="89"/>
      <c r="AE85" s="85"/>
      <c r="AF85" s="85"/>
      <c r="AG85" s="60"/>
      <c r="AH85" s="60"/>
    </row>
    <row r="86" spans="1:34" s="44" customFormat="1" x14ac:dyDescent="0.2">
      <c r="A86" s="114" t="str">
        <f>IF(K86=0,"",MAX(A$20:A85)+1)</f>
        <v/>
      </c>
      <c r="B86" s="45" t="str">
        <f>IFERROR(VLOOKUP($C86,Таблица!$B$193:$E$201,2,FALSE),"")</f>
        <v/>
      </c>
      <c r="C86" s="31"/>
      <c r="D86" s="31"/>
      <c r="E86" s="32"/>
      <c r="F86" s="32"/>
      <c r="G86" s="32"/>
      <c r="H86" s="32"/>
      <c r="I86" s="45" t="str">
        <f t="shared" si="32"/>
        <v/>
      </c>
      <c r="J86" s="45" t="str">
        <f t="shared" ref="J86:J87" si="35">IF($C86="","","т")</f>
        <v/>
      </c>
      <c r="K86" s="51"/>
      <c r="L86" s="45">
        <f>IFERROR(VLOOKUP($C86,Таблица!$B$193:$K$201,3,FALSE),0)</f>
        <v>0</v>
      </c>
      <c r="M86" s="45" t="str">
        <f>IFERROR(VLOOKUP($C86,Таблица!$B$193:$F$201,5,FALSE),"")</f>
        <v/>
      </c>
      <c r="N86" s="45" t="str">
        <f>IFERROR(VLOOKUP($C86,Таблица!$B$193:$E$201,4,FALSE),"")</f>
        <v/>
      </c>
      <c r="O86" s="56">
        <f t="shared" si="29"/>
        <v>1</v>
      </c>
      <c r="P86" s="51"/>
      <c r="Q86" s="45" t="str">
        <f>IF(OR(AND(ISERROR(VLOOKUP($C86,Таблица!$B$193:$E$201,2,FALSE)),$C86&lt;&gt;""),P86&lt;&gt;""),"√","")</f>
        <v/>
      </c>
      <c r="R86" s="249">
        <f t="shared" si="30"/>
        <v>0</v>
      </c>
      <c r="S86" s="62">
        <f>ROUND(IFERROR(VLOOKUP($C86,Таблица!$B$149:$K$169,6,FALSE),80)/100*$AC86,2)</f>
        <v>0</v>
      </c>
      <c r="T86" s="62">
        <f>ROUND(IFERROR(VLOOKUP($C86,Таблица!$B$149:$K$169,7,FALSE),4)/100*$AC86,2)</f>
        <v>0</v>
      </c>
      <c r="U86" s="84">
        <f>ROUND(IFERROR(VLOOKUP($C86,Таблица!$B$149:$K$169,8,FALSE),0)/100*$AC86,2)</f>
        <v>0</v>
      </c>
      <c r="V86" s="84">
        <f>ROUND(IFERROR(VLOOKUP($C86,Таблица!$B$149:$K$169,9,FALSE),7)/100*$AC86,2)</f>
        <v>0</v>
      </c>
      <c r="W86" s="84">
        <f>ROUND(IFERROR(VLOOKUP($C86,Таблица!$B$149:$K$169,10,FALSE),9)/100*$AC86,2)</f>
        <v>0</v>
      </c>
      <c r="X86" s="88">
        <f>IF($R86="",0,ROUND($R86*IF($M86&gt;=35,Таблица!$O$44,Таблица!$O$36),2))</f>
        <v>0</v>
      </c>
      <c r="Y86" s="88">
        <f>IF($R86="",0,ROUND($R86*IF($M86&gt;=35,Таблица!$O$45,Таблица!$O$37)*IF($M$12,0.8,1),2))</f>
        <v>0</v>
      </c>
      <c r="Z86" s="88">
        <f>IF($R86="",0,ROUND($R86*IF($M86&gt;=35,Таблица!$O$46,Таблица!$O$38),2))</f>
        <v>0</v>
      </c>
      <c r="AA86" s="88">
        <f>IF($R86="",0,ROUND($R86*IF($M86&gt;=35,Таблица!$O$47,Таблица!$O$39),2))</f>
        <v>0</v>
      </c>
      <c r="AB86" s="88">
        <f>IF($R86="",0,ROUND($R86*IF($M86&gt;=35,Таблица!$O$48,Таблица!$O$40),2))</f>
        <v>0</v>
      </c>
      <c r="AC86" s="139">
        <f t="shared" si="31"/>
        <v>0</v>
      </c>
      <c r="AD86" s="89"/>
      <c r="AE86" s="85"/>
      <c r="AF86" s="85"/>
      <c r="AG86" s="60"/>
      <c r="AH86" s="60"/>
    </row>
    <row r="87" spans="1:34" x14ac:dyDescent="0.2">
      <c r="A87" s="114" t="str">
        <f>IF(K87=0,"",MAX(A$20:A86)+1)</f>
        <v/>
      </c>
      <c r="B87" s="45" t="str">
        <f>IFERROR(VLOOKUP($C87,Таблица!$B$193:$E$201,2,FALSE),"")</f>
        <v/>
      </c>
      <c r="C87" s="48"/>
      <c r="D87" s="31"/>
      <c r="E87" s="32"/>
      <c r="F87" s="32"/>
      <c r="G87" s="32"/>
      <c r="H87" s="32"/>
      <c r="I87" s="45" t="str">
        <f t="shared" si="32"/>
        <v/>
      </c>
      <c r="J87" s="45" t="str">
        <f t="shared" si="35"/>
        <v/>
      </c>
      <c r="K87" s="51"/>
      <c r="L87" s="45">
        <f>IFERROR(VLOOKUP($C87,Таблица!$B$193:$K$201,3,FALSE),0)</f>
        <v>0</v>
      </c>
      <c r="M87" s="45" t="str">
        <f>IFERROR(VLOOKUP($C87,Таблица!$B$193:$F$201,5,FALSE),"")</f>
        <v/>
      </c>
      <c r="N87" s="45" t="str">
        <f>IFERROR(VLOOKUP($C87,Таблица!$B$193:$E$201,4,FALSE),"")</f>
        <v/>
      </c>
      <c r="O87" s="56">
        <f t="shared" si="29"/>
        <v>1</v>
      </c>
      <c r="P87" s="51"/>
      <c r="Q87" s="45" t="str">
        <f>IF(OR(AND(ISERROR(VLOOKUP($C87,Таблица!$B$193:$E$201,2,FALSE)),$C87&lt;&gt;""),P87&lt;&gt;""),"√","")</f>
        <v/>
      </c>
      <c r="R87" s="249">
        <f t="shared" si="30"/>
        <v>0</v>
      </c>
      <c r="S87" s="62">
        <f>ROUND(IFERROR(VLOOKUP($C87,Таблица!$B$149:$K$169,6,FALSE),80)/100*$AC87,2)</f>
        <v>0</v>
      </c>
      <c r="T87" s="62">
        <f>ROUND(IFERROR(VLOOKUP($C87,Таблица!$B$149:$K$169,7,FALSE),4)/100*$AC87,2)</f>
        <v>0</v>
      </c>
      <c r="U87" s="84">
        <f>ROUND(IFERROR(VLOOKUP($C87,Таблица!$B$149:$K$169,8,FALSE),0)/100*$AC87,2)</f>
        <v>0</v>
      </c>
      <c r="V87" s="84">
        <f>ROUND(IFERROR(VLOOKUP($C87,Таблица!$B$149:$K$169,9,FALSE),7)/100*$AC87,2)</f>
        <v>0</v>
      </c>
      <c r="W87" s="84">
        <f>ROUND(IFERROR(VLOOKUP($C87,Таблица!$B$149:$K$169,10,FALSE),9)/100*$AC87,2)</f>
        <v>0</v>
      </c>
      <c r="X87" s="88">
        <f>IF($R87="",0,ROUND($R87*IF($M87&gt;=35,Таблица!$O$44,Таблица!$O$36),2))</f>
        <v>0</v>
      </c>
      <c r="Y87" s="88">
        <f>IF($R87="",0,ROUND($R87*IF($M87&gt;=35,Таблица!$O$45,Таблица!$O$37)*IF($M$12,0.8,1),2))</f>
        <v>0</v>
      </c>
      <c r="Z87" s="88">
        <f>IF($R87="",0,ROUND($R87*IF($M87&gt;=35,Таблица!$O$46,Таблица!$O$38),2))</f>
        <v>0</v>
      </c>
      <c r="AA87" s="88">
        <f>IF($R87="",0,ROUND($R87*IF($M87&gt;=35,Таблица!$O$47,Таблица!$O$39),2))</f>
        <v>0</v>
      </c>
      <c r="AB87" s="88">
        <f>IF($R87="",0,ROUND($R87*IF($M87&gt;=35,Таблица!$O$48,Таблица!$O$40),2))</f>
        <v>0</v>
      </c>
      <c r="AC87" s="139">
        <f t="shared" si="31"/>
        <v>0</v>
      </c>
      <c r="AE87" s="85"/>
      <c r="AF87" s="85"/>
    </row>
    <row r="88" spans="1:34" hidden="1" x14ac:dyDescent="0.2">
      <c r="A88" s="114" t="s">
        <v>636</v>
      </c>
      <c r="B88" s="1" t="s">
        <v>396</v>
      </c>
      <c r="C88" s="1" t="s">
        <v>397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249">
        <v>0</v>
      </c>
      <c r="S88" s="85"/>
      <c r="T88" s="85"/>
      <c r="U88" s="86"/>
      <c r="V88" s="86"/>
      <c r="W88" s="86"/>
      <c r="X88" s="88">
        <f>IF($R88="",0,ROUND($R88*IF($M88&gt;=35,Таблица!$O$44,Таблица!$O$36),2))</f>
        <v>0</v>
      </c>
      <c r="Y88" s="88">
        <f>IF($R88="",0,ROUND($R88*IF($M88&gt;=35,Таблица!$O$45,Таблица!$O$37),2))</f>
        <v>0</v>
      </c>
      <c r="Z88" s="143">
        <f>SUM(S88:W88)-R88</f>
        <v>0</v>
      </c>
      <c r="AA88" s="88"/>
    </row>
    <row r="89" spans="1:34" hidden="1" x14ac:dyDescent="0.2">
      <c r="A89" s="114" t="s">
        <v>636</v>
      </c>
      <c r="B89" s="1" t="str">
        <f>IFERROR(VLOOKUP($C89,Таблица!$B$158:$E$161,2,FALSE),"")</f>
        <v/>
      </c>
      <c r="C89" s="5"/>
      <c r="D89" s="5"/>
      <c r="E89" s="1"/>
      <c r="F89" s="1"/>
      <c r="G89" s="1"/>
      <c r="H89" s="1"/>
      <c r="I89" s="1" t="str">
        <f t="shared" ref="I89" si="36">IF(AND(K89&lt;0.1,K89&gt;0),1.35,"")</f>
        <v/>
      </c>
      <c r="J89" s="1" t="str">
        <f>IF($C89="","","км")</f>
        <v/>
      </c>
      <c r="K89" s="1"/>
      <c r="L89" s="1">
        <f>IFERROR(VLOOKUP($C89,Таблица!$B$158:$K$161,3,FALSE),0)</f>
        <v>0</v>
      </c>
      <c r="M89" s="1" t="str">
        <f>IFERROR(VLOOKUP($C89,Таблица!$B$158:$F$161,5,FALSE),"")</f>
        <v/>
      </c>
      <c r="N89" s="1" t="str">
        <f>IFERROR(VLOOKUP($C89,Таблица!$B$158:$E$161,4,FALSE),"")</f>
        <v/>
      </c>
      <c r="O89" s="1">
        <f>IF(E89="",1,IF(AND(M89=220,E89=Таблица!$O$15),Таблица!$O$19,IF(AND(M89=220,E89=Таблица!$O$16),Таблица!$O$18,E89)))*IF(F89="",1,F89)*IF(G89="",1,G89)*IF(H89="",1,H89)*IF(I89="",1,I89)</f>
        <v>1</v>
      </c>
      <c r="P89" s="1"/>
      <c r="Q89" s="1" t="str">
        <f>IF(OR(AND(ISERROR(VLOOKUP($C89,Таблица!$B$158:$E$161,2,FALSE)),$C89&lt;&gt;""),P89&lt;&gt;""),"√","")</f>
        <v/>
      </c>
      <c r="R89" s="249">
        <f>IFERROR(ROUND(K89*IF(P89="",N89*O89,P89),2),0)</f>
        <v>0</v>
      </c>
      <c r="S89" s="85"/>
      <c r="T89" s="85"/>
      <c r="U89" s="86"/>
      <c r="V89" s="86"/>
      <c r="W89" s="86"/>
      <c r="X89" s="88">
        <f>IF($R89="",0,ROUND($R89*IF($M89&gt;=35,Таблица!$O$44,Таблица!$O$36),2))</f>
        <v>0</v>
      </c>
      <c r="Y89" s="88">
        <f>IF($R89="",0,ROUND($R89*IF($M89&gt;=35,Таблица!$O$45,Таблица!$O$37),2))</f>
        <v>0</v>
      </c>
      <c r="Z89" s="143">
        <f>SUM(S89:W89)-R89</f>
        <v>0</v>
      </c>
      <c r="AA89" s="88"/>
    </row>
    <row r="90" spans="1:34" s="68" customFormat="1" hidden="1" x14ac:dyDescent="0.2">
      <c r="A90" s="133" t="s">
        <v>636</v>
      </c>
      <c r="B90" s="65"/>
      <c r="C90" s="65" t="s">
        <v>991</v>
      </c>
      <c r="D90" s="65"/>
      <c r="E90" s="65"/>
      <c r="F90" s="65"/>
      <c r="G90" s="65"/>
      <c r="H90" s="65"/>
      <c r="I90" s="65"/>
      <c r="J90" s="65"/>
      <c r="K90" s="65"/>
      <c r="L90" s="65">
        <v>0.4</v>
      </c>
      <c r="M90" s="65"/>
      <c r="N90" s="65"/>
      <c r="O90" s="65"/>
      <c r="P90" s="65"/>
      <c r="Q90" s="65"/>
      <c r="R90" s="251">
        <v>0</v>
      </c>
      <c r="S90" s="87">
        <f t="shared" ref="S90:AB90" si="37">SUMIF($M$76:$M$87,"&lt;=0,4",S$76:S$87)-IF($P$13&gt;$M90,SUMIF($M$76:$M$87,"=0",S$76:S$87))</f>
        <v>0</v>
      </c>
      <c r="T90" s="87">
        <f t="shared" si="37"/>
        <v>0</v>
      </c>
      <c r="U90" s="87">
        <f t="shared" si="37"/>
        <v>0</v>
      </c>
      <c r="V90" s="87">
        <f t="shared" si="37"/>
        <v>0</v>
      </c>
      <c r="W90" s="87">
        <f t="shared" si="37"/>
        <v>0</v>
      </c>
      <c r="X90" s="87">
        <f t="shared" si="37"/>
        <v>0</v>
      </c>
      <c r="Y90" s="87">
        <f t="shared" si="37"/>
        <v>0</v>
      </c>
      <c r="Z90" s="87">
        <f t="shared" si="37"/>
        <v>0</v>
      </c>
      <c r="AA90" s="87">
        <f t="shared" si="37"/>
        <v>0</v>
      </c>
      <c r="AB90" s="87">
        <f t="shared" si="37"/>
        <v>0</v>
      </c>
      <c r="AC90" s="137"/>
      <c r="AD90" s="89"/>
    </row>
    <row r="91" spans="1:34" s="68" customFormat="1" hidden="1" x14ac:dyDescent="0.2">
      <c r="A91" s="133" t="s">
        <v>636</v>
      </c>
      <c r="B91" s="65"/>
      <c r="C91" s="65" t="s">
        <v>1346</v>
      </c>
      <c r="D91" s="65"/>
      <c r="E91" s="65"/>
      <c r="F91" s="65"/>
      <c r="G91" s="65"/>
      <c r="H91" s="65"/>
      <c r="I91" s="65"/>
      <c r="J91" s="65"/>
      <c r="K91" s="65"/>
      <c r="L91" s="65">
        <v>1</v>
      </c>
      <c r="M91" s="65">
        <v>20</v>
      </c>
      <c r="N91" s="65"/>
      <c r="O91" s="65"/>
      <c r="P91" s="65"/>
      <c r="Q91" s="65"/>
      <c r="R91" s="251">
        <v>0</v>
      </c>
      <c r="S91" s="87">
        <f>SUMIF($M$76:$M$87,"&lt;=20",S$76:S$87)-S90-IF($P$13&gt;$M91,SUMIF($M$76:$M$87,"=0",S$76:S$87))+SUM(S69:S73)</f>
        <v>0</v>
      </c>
      <c r="T91" s="87">
        <f t="shared" ref="T91:AB91" si="38">SUMIF($M$76:$M$87,"&lt;=20",T$76:T$87)-T90-IF($P$13&gt;$M91,SUMIF($M$76:$M$87,"=0",T$76:T$87))+SUM(T69:T73)</f>
        <v>0</v>
      </c>
      <c r="U91" s="87">
        <f t="shared" si="38"/>
        <v>0</v>
      </c>
      <c r="V91" s="87">
        <f t="shared" si="38"/>
        <v>0</v>
      </c>
      <c r="W91" s="87">
        <f t="shared" si="38"/>
        <v>0</v>
      </c>
      <c r="X91" s="87">
        <f t="shared" si="38"/>
        <v>0</v>
      </c>
      <c r="Y91" s="87">
        <f t="shared" si="38"/>
        <v>0</v>
      </c>
      <c r="Z91" s="87">
        <f t="shared" si="38"/>
        <v>0</v>
      </c>
      <c r="AA91" s="87">
        <f t="shared" si="38"/>
        <v>0</v>
      </c>
      <c r="AB91" s="87">
        <f t="shared" si="38"/>
        <v>0</v>
      </c>
      <c r="AC91" s="137"/>
      <c r="AD91" s="89"/>
    </row>
    <row r="92" spans="1:34" s="68" customFormat="1" hidden="1" x14ac:dyDescent="0.2">
      <c r="A92" s="133" t="s">
        <v>636</v>
      </c>
      <c r="B92" s="65"/>
      <c r="C92" s="65" t="s">
        <v>994</v>
      </c>
      <c r="D92" s="65"/>
      <c r="E92" s="65"/>
      <c r="F92" s="65"/>
      <c r="G92" s="65"/>
      <c r="H92" s="65"/>
      <c r="I92" s="65"/>
      <c r="J92" s="65"/>
      <c r="K92" s="65"/>
      <c r="L92" s="65">
        <v>35</v>
      </c>
      <c r="M92" s="65">
        <v>35</v>
      </c>
      <c r="N92" s="65"/>
      <c r="O92" s="65"/>
      <c r="P92" s="65"/>
      <c r="Q92" s="65"/>
      <c r="R92" s="251">
        <v>0</v>
      </c>
      <c r="S92" s="87">
        <f>SUMIF($M$76:$M$87,"&lt;=35",S$76:S$87)-S90-S91-IF($P$13&gt;$M92,SUMIF($M$76:$M$87,"=0",S$76:S$87))+SUM(S69:S73)</f>
        <v>0</v>
      </c>
      <c r="T92" s="87">
        <f t="shared" ref="T92:AB92" si="39">SUMIF($M$76:$M$87,"&lt;=35",T$76:T$87)-T90-T91-IF($P$13&gt;$M92,SUMIF($M$76:$M$87,"=0",T$76:T$87))+SUM(T69:T73)</f>
        <v>0</v>
      </c>
      <c r="U92" s="87">
        <f t="shared" si="39"/>
        <v>0</v>
      </c>
      <c r="V92" s="87">
        <f t="shared" si="39"/>
        <v>0</v>
      </c>
      <c r="W92" s="87">
        <f t="shared" si="39"/>
        <v>0</v>
      </c>
      <c r="X92" s="87">
        <f t="shared" si="39"/>
        <v>0</v>
      </c>
      <c r="Y92" s="87">
        <f t="shared" si="39"/>
        <v>0</v>
      </c>
      <c r="Z92" s="87">
        <f t="shared" si="39"/>
        <v>0</v>
      </c>
      <c r="AA92" s="87">
        <f t="shared" si="39"/>
        <v>0</v>
      </c>
      <c r="AB92" s="87">
        <f t="shared" si="39"/>
        <v>0</v>
      </c>
      <c r="AC92" s="137"/>
      <c r="AD92" s="89"/>
    </row>
    <row r="93" spans="1:34" s="68" customFormat="1" hidden="1" x14ac:dyDescent="0.2">
      <c r="A93" s="133" t="s">
        <v>636</v>
      </c>
      <c r="B93" s="65"/>
      <c r="C93" s="65" t="s">
        <v>993</v>
      </c>
      <c r="D93" s="65"/>
      <c r="E93" s="65"/>
      <c r="F93" s="65"/>
      <c r="G93" s="65"/>
      <c r="H93" s="65"/>
      <c r="I93" s="65"/>
      <c r="J93" s="65"/>
      <c r="K93" s="65"/>
      <c r="L93" s="65">
        <v>110</v>
      </c>
      <c r="M93" s="65">
        <v>220</v>
      </c>
      <c r="N93" s="65"/>
      <c r="O93" s="65"/>
      <c r="P93" s="65"/>
      <c r="Q93" s="65"/>
      <c r="R93" s="251">
        <v>0</v>
      </c>
      <c r="S93" s="87">
        <f t="shared" ref="S93:AB93" si="40">SUMIF($M$76:$M$87,"&gt;=110",S$76:S$87)+IF($P$13&gt;=$M93,SUMIF($M$76:$M$87,"=0",S$76:S$87))</f>
        <v>0</v>
      </c>
      <c r="T93" s="87">
        <f t="shared" si="40"/>
        <v>0</v>
      </c>
      <c r="U93" s="87">
        <f t="shared" si="40"/>
        <v>0</v>
      </c>
      <c r="V93" s="87">
        <f t="shared" si="40"/>
        <v>0</v>
      </c>
      <c r="W93" s="87">
        <f t="shared" si="40"/>
        <v>0</v>
      </c>
      <c r="X93" s="87">
        <f t="shared" si="40"/>
        <v>0</v>
      </c>
      <c r="Y93" s="87">
        <f t="shared" si="40"/>
        <v>0</v>
      </c>
      <c r="Z93" s="87">
        <f t="shared" si="40"/>
        <v>0</v>
      </c>
      <c r="AA93" s="87">
        <f t="shared" si="40"/>
        <v>0</v>
      </c>
      <c r="AB93" s="87">
        <f t="shared" si="40"/>
        <v>0</v>
      </c>
      <c r="AC93" s="137"/>
      <c r="AD93" s="89"/>
    </row>
    <row r="94" spans="1:34" s="68" customFormat="1" hidden="1" x14ac:dyDescent="0.2">
      <c r="A94" s="133" t="s">
        <v>636</v>
      </c>
      <c r="B94" s="65"/>
      <c r="C94" s="65" t="s">
        <v>1345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251">
        <v>0</v>
      </c>
      <c r="S94" s="87">
        <f>SUM(S61:S67)</f>
        <v>0</v>
      </c>
      <c r="T94" s="87">
        <f t="shared" ref="T94:AB94" si="41">SUM(T61:T67)</f>
        <v>0</v>
      </c>
      <c r="U94" s="87">
        <f t="shared" si="41"/>
        <v>0</v>
      </c>
      <c r="V94" s="87">
        <f t="shared" si="41"/>
        <v>0</v>
      </c>
      <c r="W94" s="87">
        <f t="shared" si="41"/>
        <v>0</v>
      </c>
      <c r="X94" s="87">
        <f t="shared" si="41"/>
        <v>0</v>
      </c>
      <c r="Y94" s="87">
        <f t="shared" si="41"/>
        <v>0</v>
      </c>
      <c r="Z94" s="87">
        <f t="shared" si="41"/>
        <v>0</v>
      </c>
      <c r="AA94" s="87">
        <f t="shared" si="41"/>
        <v>0</v>
      </c>
      <c r="AB94" s="87">
        <f t="shared" si="41"/>
        <v>0</v>
      </c>
      <c r="AC94" s="137"/>
      <c r="AD94" s="89"/>
    </row>
    <row r="95" spans="1:34" x14ac:dyDescent="0.2">
      <c r="A95" s="114"/>
      <c r="B95" s="1"/>
      <c r="C95" s="15" t="s">
        <v>477</v>
      </c>
      <c r="D95" s="15"/>
      <c r="E95" s="1"/>
      <c r="F95" s="1"/>
      <c r="G95" s="1"/>
      <c r="H95" s="1"/>
      <c r="I95" s="1"/>
      <c r="J95" s="1"/>
      <c r="K95" s="1"/>
      <c r="L95" s="1"/>
      <c r="M95" s="1">
        <f>MAX(M$24:M$43,M$45:M$48,M$50:M$54,M$61:M$67,M$69:M$73)</f>
        <v>0</v>
      </c>
      <c r="N95" s="1"/>
      <c r="O95" s="1"/>
      <c r="P95" s="1"/>
      <c r="Q95" s="1"/>
      <c r="R95" s="249">
        <f>SUM(R24:R87)</f>
        <v>0</v>
      </c>
      <c r="S95" s="127">
        <f>SUM(S96:S100)</f>
        <v>0</v>
      </c>
      <c r="T95" s="127">
        <f t="shared" ref="T95:AB95" si="42">SUM(T96:T100)</f>
        <v>0</v>
      </c>
      <c r="U95" s="131">
        <f t="shared" si="42"/>
        <v>0</v>
      </c>
      <c r="V95" s="131">
        <f t="shared" si="42"/>
        <v>0</v>
      </c>
      <c r="W95" s="131">
        <f t="shared" si="42"/>
        <v>0</v>
      </c>
      <c r="X95" s="142">
        <f t="shared" si="42"/>
        <v>0</v>
      </c>
      <c r="Y95" s="142">
        <f t="shared" si="42"/>
        <v>0</v>
      </c>
      <c r="Z95" s="142">
        <f t="shared" si="42"/>
        <v>0</v>
      </c>
      <c r="AA95" s="142">
        <f t="shared" si="42"/>
        <v>0</v>
      </c>
      <c r="AB95" s="142">
        <f t="shared" si="42"/>
        <v>0</v>
      </c>
      <c r="AC95" s="143">
        <f>SUM(X95:AB95)</f>
        <v>0</v>
      </c>
    </row>
    <row r="96" spans="1:34" s="68" customFormat="1" hidden="1" x14ac:dyDescent="0.2">
      <c r="A96" s="133" t="s">
        <v>636</v>
      </c>
      <c r="B96" s="65"/>
      <c r="C96" s="65" t="s">
        <v>991</v>
      </c>
      <c r="D96" s="65"/>
      <c r="E96" s="65"/>
      <c r="F96" s="65"/>
      <c r="G96" s="65"/>
      <c r="H96" s="65"/>
      <c r="I96" s="65"/>
      <c r="J96" s="65"/>
      <c r="K96" s="65"/>
      <c r="L96" s="65">
        <v>0.4</v>
      </c>
      <c r="M96" s="65"/>
      <c r="N96" s="65"/>
      <c r="O96" s="65"/>
      <c r="P96" s="65"/>
      <c r="Q96" s="65"/>
      <c r="R96" s="251"/>
      <c r="S96" s="87">
        <f t="shared" ref="S96:AB96" si="43">S56+S90</f>
        <v>0</v>
      </c>
      <c r="T96" s="87">
        <f t="shared" si="43"/>
        <v>0</v>
      </c>
      <c r="U96" s="87">
        <f t="shared" si="43"/>
        <v>0</v>
      </c>
      <c r="V96" s="87">
        <f t="shared" si="43"/>
        <v>0</v>
      </c>
      <c r="W96" s="87">
        <f t="shared" si="43"/>
        <v>0</v>
      </c>
      <c r="X96" s="88">
        <f t="shared" si="43"/>
        <v>0</v>
      </c>
      <c r="Y96" s="88">
        <f t="shared" si="43"/>
        <v>0</v>
      </c>
      <c r="Z96" s="88">
        <f t="shared" si="43"/>
        <v>0</v>
      </c>
      <c r="AA96" s="88">
        <f t="shared" si="43"/>
        <v>0</v>
      </c>
      <c r="AB96" s="88">
        <f t="shared" si="43"/>
        <v>0</v>
      </c>
      <c r="AC96" s="89"/>
      <c r="AD96" s="89"/>
    </row>
    <row r="97" spans="1:31" s="68" customFormat="1" hidden="1" x14ac:dyDescent="0.2">
      <c r="A97" s="133" t="s">
        <v>636</v>
      </c>
      <c r="B97" s="65"/>
      <c r="C97" s="65" t="s">
        <v>1346</v>
      </c>
      <c r="D97" s="65"/>
      <c r="E97" s="65"/>
      <c r="F97" s="65"/>
      <c r="G97" s="65"/>
      <c r="H97" s="65"/>
      <c r="I97" s="65"/>
      <c r="J97" s="65"/>
      <c r="K97" s="65"/>
      <c r="L97" s="65">
        <v>1</v>
      </c>
      <c r="M97" s="65">
        <v>20</v>
      </c>
      <c r="N97" s="65"/>
      <c r="O97" s="65"/>
      <c r="P97" s="65"/>
      <c r="Q97" s="65"/>
      <c r="R97" s="251"/>
      <c r="S97" s="140">
        <f t="shared" ref="S97:Y99" si="44">S57+S91</f>
        <v>0</v>
      </c>
      <c r="T97" s="140">
        <f t="shared" si="44"/>
        <v>0</v>
      </c>
      <c r="U97" s="140">
        <f t="shared" si="44"/>
        <v>0</v>
      </c>
      <c r="V97" s="140">
        <f t="shared" si="44"/>
        <v>0</v>
      </c>
      <c r="W97" s="140">
        <f t="shared" si="44"/>
        <v>0</v>
      </c>
      <c r="X97" s="141">
        <f t="shared" si="44"/>
        <v>0</v>
      </c>
      <c r="Y97" s="141">
        <f t="shared" si="44"/>
        <v>0</v>
      </c>
      <c r="Z97" s="141">
        <f t="shared" ref="Z97:AB97" si="45">Z57+Z91</f>
        <v>0</v>
      </c>
      <c r="AA97" s="141">
        <f t="shared" si="45"/>
        <v>0</v>
      </c>
      <c r="AB97" s="141">
        <f t="shared" si="45"/>
        <v>0</v>
      </c>
      <c r="AC97" s="89"/>
      <c r="AD97" s="89"/>
    </row>
    <row r="98" spans="1:31" s="68" customFormat="1" hidden="1" x14ac:dyDescent="0.2">
      <c r="A98" s="133" t="s">
        <v>636</v>
      </c>
      <c r="B98" s="65"/>
      <c r="C98" s="65" t="s">
        <v>994</v>
      </c>
      <c r="D98" s="65"/>
      <c r="E98" s="65"/>
      <c r="F98" s="65"/>
      <c r="G98" s="65"/>
      <c r="H98" s="65"/>
      <c r="I98" s="65"/>
      <c r="J98" s="65"/>
      <c r="K98" s="65"/>
      <c r="L98" s="65">
        <v>35</v>
      </c>
      <c r="M98" s="65">
        <v>35</v>
      </c>
      <c r="N98" s="65"/>
      <c r="O98" s="65"/>
      <c r="P98" s="65"/>
      <c r="Q98" s="65"/>
      <c r="R98" s="251"/>
      <c r="S98" s="87">
        <f t="shared" si="44"/>
        <v>0</v>
      </c>
      <c r="T98" s="87">
        <f t="shared" si="44"/>
        <v>0</v>
      </c>
      <c r="U98" s="87">
        <f t="shared" si="44"/>
        <v>0</v>
      </c>
      <c r="V98" s="87">
        <f t="shared" si="44"/>
        <v>0</v>
      </c>
      <c r="W98" s="87">
        <f t="shared" si="44"/>
        <v>0</v>
      </c>
      <c r="X98" s="88">
        <f t="shared" si="44"/>
        <v>0</v>
      </c>
      <c r="Y98" s="88">
        <f t="shared" si="44"/>
        <v>0</v>
      </c>
      <c r="Z98" s="88">
        <f t="shared" ref="Z98:AB98" si="46">Z58+Z92</f>
        <v>0</v>
      </c>
      <c r="AA98" s="88">
        <f t="shared" si="46"/>
        <v>0</v>
      </c>
      <c r="AB98" s="88">
        <f t="shared" si="46"/>
        <v>0</v>
      </c>
      <c r="AC98" s="89"/>
      <c r="AD98" s="89"/>
    </row>
    <row r="99" spans="1:31" s="68" customFormat="1" hidden="1" x14ac:dyDescent="0.2">
      <c r="A99" s="133" t="s">
        <v>636</v>
      </c>
      <c r="B99" s="65"/>
      <c r="C99" s="65" t="s">
        <v>993</v>
      </c>
      <c r="D99" s="65"/>
      <c r="E99" s="65"/>
      <c r="F99" s="65"/>
      <c r="G99" s="65"/>
      <c r="H99" s="65"/>
      <c r="I99" s="65"/>
      <c r="J99" s="65"/>
      <c r="K99" s="65"/>
      <c r="L99" s="65">
        <v>110</v>
      </c>
      <c r="M99" s="65">
        <v>220</v>
      </c>
      <c r="N99" s="65"/>
      <c r="O99" s="65"/>
      <c r="P99" s="65"/>
      <c r="Q99" s="65"/>
      <c r="R99" s="251"/>
      <c r="S99" s="87">
        <f t="shared" si="44"/>
        <v>0</v>
      </c>
      <c r="T99" s="87">
        <f t="shared" si="44"/>
        <v>0</v>
      </c>
      <c r="U99" s="87">
        <f t="shared" si="44"/>
        <v>0</v>
      </c>
      <c r="V99" s="87">
        <f t="shared" si="44"/>
        <v>0</v>
      </c>
      <c r="W99" s="87">
        <f t="shared" si="44"/>
        <v>0</v>
      </c>
      <c r="X99" s="88">
        <f t="shared" si="44"/>
        <v>0</v>
      </c>
      <c r="Y99" s="88">
        <f t="shared" si="44"/>
        <v>0</v>
      </c>
      <c r="Z99" s="88">
        <f t="shared" ref="Z99:AB99" si="47">Z59+Z93</f>
        <v>0</v>
      </c>
      <c r="AA99" s="88">
        <f t="shared" si="47"/>
        <v>0</v>
      </c>
      <c r="AB99" s="88">
        <f t="shared" si="47"/>
        <v>0</v>
      </c>
      <c r="AC99" s="89"/>
      <c r="AD99" s="89"/>
    </row>
    <row r="100" spans="1:31" s="68" customFormat="1" hidden="1" x14ac:dyDescent="0.2">
      <c r="A100" s="188" t="s">
        <v>636</v>
      </c>
      <c r="B100" s="189"/>
      <c r="C100" s="65" t="s">
        <v>1345</v>
      </c>
      <c r="D100" s="189"/>
      <c r="E100" s="189"/>
      <c r="F100" s="189"/>
      <c r="G100" s="189"/>
      <c r="H100" s="189"/>
      <c r="I100" s="189"/>
      <c r="J100" s="189"/>
      <c r="K100" s="189"/>
      <c r="L100" s="189"/>
      <c r="M100" s="189"/>
      <c r="N100" s="189"/>
      <c r="O100" s="189"/>
      <c r="P100" s="189"/>
      <c r="Q100" s="189"/>
      <c r="R100" s="252"/>
      <c r="S100" s="87">
        <f>S94</f>
        <v>0</v>
      </c>
      <c r="T100" s="87">
        <f t="shared" ref="T100:Y100" si="48">T94</f>
        <v>0</v>
      </c>
      <c r="U100" s="87">
        <f t="shared" si="48"/>
        <v>0</v>
      </c>
      <c r="V100" s="87">
        <f t="shared" si="48"/>
        <v>0</v>
      </c>
      <c r="W100" s="87">
        <f t="shared" si="48"/>
        <v>0</v>
      </c>
      <c r="X100" s="88">
        <f t="shared" si="48"/>
        <v>0</v>
      </c>
      <c r="Y100" s="88">
        <f t="shared" si="48"/>
        <v>0</v>
      </c>
      <c r="Z100" s="88">
        <f t="shared" ref="Z100:AB100" si="49">Z94</f>
        <v>0</v>
      </c>
      <c r="AA100" s="88">
        <f t="shared" si="49"/>
        <v>0</v>
      </c>
      <c r="AB100" s="88">
        <f t="shared" si="49"/>
        <v>0</v>
      </c>
      <c r="AC100" s="89"/>
      <c r="AD100" s="89"/>
    </row>
    <row r="101" spans="1:31" x14ac:dyDescent="0.2">
      <c r="A101" s="181"/>
      <c r="B101" s="182"/>
      <c r="C101" s="182" t="s">
        <v>469</v>
      </c>
      <c r="D101" s="182"/>
      <c r="E101" s="182"/>
      <c r="F101" s="182"/>
      <c r="G101" s="182"/>
      <c r="H101" s="182"/>
      <c r="I101" s="182"/>
      <c r="J101" s="182" t="s">
        <v>403</v>
      </c>
      <c r="K101" s="184">
        <f ca="1">$M$11-1</f>
        <v>0.21999999999999997</v>
      </c>
      <c r="L101" s="184"/>
      <c r="M101" s="182"/>
      <c r="N101" s="182"/>
      <c r="O101" s="182"/>
      <c r="P101" s="124" t="s">
        <v>403</v>
      </c>
      <c r="Q101" s="182"/>
      <c r="R101" s="253"/>
      <c r="S101" s="53"/>
      <c r="T101" s="53"/>
      <c r="U101" s="80"/>
      <c r="V101" s="80"/>
      <c r="W101" s="80"/>
    </row>
    <row r="102" spans="1:31" x14ac:dyDescent="0.2">
      <c r="A102" s="181"/>
      <c r="B102" s="182"/>
      <c r="C102" s="187" t="s">
        <v>478</v>
      </c>
      <c r="D102" s="187"/>
      <c r="E102" s="182"/>
      <c r="F102" s="182"/>
      <c r="G102" s="182"/>
      <c r="H102" s="182"/>
      <c r="I102" s="182"/>
      <c r="J102" s="182"/>
      <c r="K102" s="182"/>
      <c r="L102" s="182"/>
      <c r="M102" s="182"/>
      <c r="N102" s="182"/>
      <c r="O102" s="182"/>
      <c r="P102" s="191" t="str">
        <f ca="1">IF(R$102,R102/R$102%,"")</f>
        <v/>
      </c>
      <c r="Q102" s="182"/>
      <c r="R102" s="249">
        <f ca="1">ROUND(R95*(1+$K$101),2)</f>
        <v>0</v>
      </c>
      <c r="S102" s="53">
        <f>SUM(R24:R87)</f>
        <v>0</v>
      </c>
      <c r="T102" s="53">
        <f>SUM(X96:AB100)</f>
        <v>0</v>
      </c>
      <c r="U102" s="80">
        <f ca="1">ROUND(S102*(1+$P$12)+T102+SUM(R20:R22)-(R112-R110-R111)/(1+$K$101)-(R110+R111)/(1+$P$12),2)</f>
        <v>0</v>
      </c>
      <c r="V102" s="80"/>
      <c r="W102" s="80"/>
    </row>
    <row r="103" spans="1:31" x14ac:dyDescent="0.2">
      <c r="A103" s="181"/>
      <c r="B103" s="182"/>
      <c r="C103" s="182" t="s">
        <v>479</v>
      </c>
      <c r="D103" s="182"/>
      <c r="E103" s="182"/>
      <c r="F103" s="182"/>
      <c r="G103" s="182"/>
      <c r="H103" s="182"/>
      <c r="I103" s="182"/>
      <c r="J103" s="182"/>
      <c r="K103" s="182"/>
      <c r="L103" s="182"/>
      <c r="M103" s="182"/>
      <c r="N103" s="182"/>
      <c r="O103" s="182"/>
      <c r="P103" s="191" t="str">
        <f ca="1">IF(SUM(P104:P109),SUM(P104:P109),"")</f>
        <v/>
      </c>
      <c r="Q103" s="194"/>
      <c r="R103" s="254">
        <f ca="1">SUM(R104:R109)</f>
        <v>0</v>
      </c>
      <c r="S103" s="53">
        <f ca="1">ROUND(R103-AC95*(1+K101)-R109,2)</f>
        <v>0</v>
      </c>
      <c r="T103" s="53"/>
      <c r="U103" s="80"/>
      <c r="V103" s="80"/>
      <c r="W103" s="80"/>
    </row>
    <row r="104" spans="1:31" ht="12.75" customHeight="1" x14ac:dyDescent="0.2">
      <c r="A104" s="181"/>
      <c r="B104" s="182" t="s">
        <v>435</v>
      </c>
      <c r="C104" s="183" t="s">
        <v>1233</v>
      </c>
      <c r="D104" s="182"/>
      <c r="E104" s="182"/>
      <c r="F104" s="182"/>
      <c r="G104" s="182"/>
      <c r="H104" s="182"/>
      <c r="I104" s="182"/>
      <c r="J104" s="182"/>
      <c r="K104" s="184"/>
      <c r="L104" s="184"/>
      <c r="M104" s="185"/>
      <c r="N104" s="182"/>
      <c r="O104" s="182"/>
      <c r="P104" s="191" t="str">
        <f t="shared" ref="P104:P109" ca="1" si="50">IF(R$102,R104/R$102%,"")</f>
        <v/>
      </c>
      <c r="Q104" s="182"/>
      <c r="R104" s="249">
        <f ca="1">ROUND(X95*(1+$K$101),2)</f>
        <v>0</v>
      </c>
      <c r="S104" s="53"/>
      <c r="T104" s="53"/>
      <c r="U104" s="80"/>
      <c r="V104" s="80"/>
      <c r="W104" s="80"/>
    </row>
    <row r="105" spans="1:31" ht="12.75" customHeight="1" x14ac:dyDescent="0.2">
      <c r="A105" s="181"/>
      <c r="B105" s="182" t="s">
        <v>435</v>
      </c>
      <c r="C105" s="203" t="str">
        <f>"временные здания и сооружения"&amp;IF(ISBLANK($C$12),""," (К=0,8)")</f>
        <v>временные здания и сооружения</v>
      </c>
      <c r="D105" s="182"/>
      <c r="E105" s="182"/>
      <c r="F105" s="182"/>
      <c r="G105" s="182"/>
      <c r="H105" s="182"/>
      <c r="I105" s="182"/>
      <c r="J105" s="182"/>
      <c r="K105" s="184"/>
      <c r="L105" s="184"/>
      <c r="M105" s="185"/>
      <c r="N105" s="182"/>
      <c r="O105" s="182"/>
      <c r="P105" s="191" t="str">
        <f t="shared" ca="1" si="50"/>
        <v/>
      </c>
      <c r="Q105" s="194"/>
      <c r="R105" s="254">
        <f ca="1">ROUND(Y95*(1+$K$101),2)</f>
        <v>0</v>
      </c>
      <c r="S105" s="53"/>
      <c r="T105" s="53"/>
      <c r="U105" s="80"/>
      <c r="V105" s="80"/>
      <c r="W105" s="80"/>
    </row>
    <row r="106" spans="1:31" ht="12.75" customHeight="1" x14ac:dyDescent="0.2">
      <c r="A106" s="181"/>
      <c r="B106" s="182" t="s">
        <v>435</v>
      </c>
      <c r="C106" s="203" t="s">
        <v>1333</v>
      </c>
      <c r="D106" s="182"/>
      <c r="E106" s="182"/>
      <c r="F106" s="182"/>
      <c r="G106" s="182"/>
      <c r="H106" s="182"/>
      <c r="I106" s="182"/>
      <c r="J106" s="182"/>
      <c r="K106" s="184"/>
      <c r="L106" s="184"/>
      <c r="M106" s="185"/>
      <c r="N106" s="182"/>
      <c r="O106" s="182"/>
      <c r="P106" s="191" t="str">
        <f t="shared" ca="1" si="50"/>
        <v/>
      </c>
      <c r="Q106" s="182"/>
      <c r="R106" s="249">
        <f ca="1">ROUND(Z95*(1+$K$101),2)</f>
        <v>0</v>
      </c>
      <c r="S106" s="53"/>
      <c r="T106" s="53"/>
      <c r="U106" s="80"/>
      <c r="V106" s="80"/>
      <c r="W106" s="80"/>
    </row>
    <row r="107" spans="1:31" ht="12.75" customHeight="1" x14ac:dyDescent="0.2">
      <c r="A107" s="181"/>
      <c r="B107" s="182" t="s">
        <v>435</v>
      </c>
      <c r="C107" s="364" t="s">
        <v>1234</v>
      </c>
      <c r="D107" s="182"/>
      <c r="E107" s="182"/>
      <c r="F107" s="182"/>
      <c r="G107" s="182"/>
      <c r="H107" s="182"/>
      <c r="I107" s="182"/>
      <c r="J107" s="182"/>
      <c r="K107" s="184"/>
      <c r="L107" s="184"/>
      <c r="M107" s="185"/>
      <c r="N107" s="182"/>
      <c r="O107" s="182"/>
      <c r="P107" s="191" t="str">
        <f t="shared" ca="1" si="50"/>
        <v/>
      </c>
      <c r="Q107" s="182"/>
      <c r="R107" s="249">
        <f ca="1">ROUND(AA95*(1+$K$101),2)</f>
        <v>0</v>
      </c>
      <c r="S107" s="53"/>
      <c r="T107" s="53"/>
      <c r="U107" s="80"/>
      <c r="V107" s="80"/>
      <c r="W107" s="80"/>
    </row>
    <row r="108" spans="1:31" ht="12.75" customHeight="1" x14ac:dyDescent="0.2">
      <c r="A108" s="181"/>
      <c r="B108" s="182" t="s">
        <v>435</v>
      </c>
      <c r="C108" s="203" t="s">
        <v>1031</v>
      </c>
      <c r="D108" s="182"/>
      <c r="E108" s="182"/>
      <c r="F108" s="182"/>
      <c r="G108" s="182"/>
      <c r="H108" s="182"/>
      <c r="I108" s="182"/>
      <c r="J108" s="182"/>
      <c r="K108" s="184"/>
      <c r="L108" s="184"/>
      <c r="M108" s="185"/>
      <c r="N108" s="182"/>
      <c r="O108" s="182"/>
      <c r="P108" s="191" t="str">
        <f t="shared" ca="1" si="50"/>
        <v/>
      </c>
      <c r="Q108" s="182"/>
      <c r="R108" s="249">
        <f ca="1">ROUND(AB95*(1+$K$101),2)</f>
        <v>0</v>
      </c>
      <c r="T108" s="53"/>
      <c r="U108" s="80"/>
      <c r="V108" s="80"/>
      <c r="W108" s="80"/>
    </row>
    <row r="109" spans="1:31" s="60" customFormat="1" ht="12.75" customHeight="1" x14ac:dyDescent="0.2">
      <c r="A109" s="181"/>
      <c r="B109" s="182" t="s">
        <v>435</v>
      </c>
      <c r="C109" s="203" t="s">
        <v>1034</v>
      </c>
      <c r="D109" s="182"/>
      <c r="E109" s="182"/>
      <c r="F109" s="182"/>
      <c r="G109" s="182"/>
      <c r="H109" s="182"/>
      <c r="I109" s="182"/>
      <c r="J109" s="182"/>
      <c r="K109" s="184"/>
      <c r="L109" s="184"/>
      <c r="M109" s="185"/>
      <c r="N109" s="182"/>
      <c r="O109" s="182"/>
      <c r="P109" s="191" t="str">
        <f t="shared" ca="1" si="50"/>
        <v/>
      </c>
      <c r="Q109" s="182"/>
      <c r="R109" s="249">
        <f ca="1">ROUND(R102*$P$12,2)</f>
        <v>0</v>
      </c>
      <c r="S109" s="212">
        <f ca="1">IF(R112-R109-R110-R111,R109/(R112-R109-R110-R111),0)</f>
        <v>0</v>
      </c>
      <c r="T109" s="53"/>
      <c r="U109" s="80"/>
      <c r="V109" s="80"/>
      <c r="W109" s="80"/>
      <c r="X109" s="89"/>
      <c r="Y109" s="89"/>
      <c r="Z109" s="89"/>
      <c r="AA109" s="89"/>
      <c r="AB109" s="89"/>
      <c r="AC109" s="137"/>
      <c r="AD109" s="89"/>
    </row>
    <row r="110" spans="1:31" s="60" customFormat="1" ht="12.75" customHeight="1" x14ac:dyDescent="0.2">
      <c r="A110" s="181"/>
      <c r="B110" s="182"/>
      <c r="C110" s="194" t="s">
        <v>1239</v>
      </c>
      <c r="D110" s="182"/>
      <c r="E110" s="182"/>
      <c r="F110" s="182"/>
      <c r="G110" s="182"/>
      <c r="H110" s="182"/>
      <c r="I110" s="182"/>
      <c r="J110" s="182"/>
      <c r="K110" s="184"/>
      <c r="L110" s="184"/>
      <c r="M110" s="185"/>
      <c r="N110" s="182"/>
      <c r="O110" s="182"/>
      <c r="P110" s="182"/>
      <c r="Q110" s="182"/>
      <c r="R110" s="249">
        <f>ROUND((N(R20)+N(R21))*(1+$P$12),2)</f>
        <v>0</v>
      </c>
      <c r="S110" s="53"/>
      <c r="T110" s="53"/>
      <c r="U110" s="80"/>
      <c r="V110" s="80"/>
      <c r="W110" s="80"/>
      <c r="X110" s="89"/>
      <c r="Y110" s="89"/>
      <c r="Z110" s="89"/>
      <c r="AA110" s="89"/>
      <c r="AB110" s="89"/>
      <c r="AC110" s="137"/>
      <c r="AD110" s="89"/>
      <c r="AE110" s="85"/>
    </row>
    <row r="111" spans="1:31" s="60" customFormat="1" ht="12.75" customHeight="1" x14ac:dyDescent="0.2">
      <c r="A111" s="181"/>
      <c r="B111" s="182"/>
      <c r="C111" s="194" t="s">
        <v>1343</v>
      </c>
      <c r="D111" s="182"/>
      <c r="E111" s="182"/>
      <c r="F111" s="182"/>
      <c r="G111" s="182"/>
      <c r="H111" s="182"/>
      <c r="I111" s="182"/>
      <c r="J111" s="182"/>
      <c r="K111" s="184"/>
      <c r="L111" s="184"/>
      <c r="M111" s="185"/>
      <c r="N111" s="182"/>
      <c r="O111" s="182"/>
      <c r="P111" s="182"/>
      <c r="Q111" s="182"/>
      <c r="R111" s="249">
        <f>ROUND(N(R22)*(1+$P$12),2)</f>
        <v>0</v>
      </c>
      <c r="S111" s="53"/>
      <c r="T111" s="53"/>
      <c r="U111" s="80"/>
      <c r="V111" s="80"/>
      <c r="W111" s="80"/>
      <c r="X111" s="89"/>
      <c r="Y111" s="89"/>
      <c r="Z111" s="89"/>
      <c r="AA111" s="89"/>
      <c r="AB111" s="89"/>
      <c r="AC111" s="137"/>
      <c r="AD111" s="89"/>
      <c r="AE111" s="85"/>
    </row>
    <row r="112" spans="1:31" x14ac:dyDescent="0.2">
      <c r="A112" s="181"/>
      <c r="B112" s="182"/>
      <c r="C112" s="186" t="s">
        <v>1266</v>
      </c>
      <c r="D112" s="186"/>
      <c r="E112" s="182"/>
      <c r="F112" s="182"/>
      <c r="G112" s="182"/>
      <c r="H112" s="182"/>
      <c r="I112" s="182"/>
      <c r="J112" s="182"/>
      <c r="K112" s="182"/>
      <c r="L112" s="182"/>
      <c r="M112" s="182"/>
      <c r="N112" s="182"/>
      <c r="O112" s="182"/>
      <c r="P112" s="182"/>
      <c r="Q112" s="182"/>
      <c r="R112" s="255">
        <f ca="1">R102+R103+R110+R111</f>
        <v>0</v>
      </c>
      <c r="S112" s="53">
        <f ca="1">ROUND(SUM(S96:W100)*(1+K101)+R102*$P$12+R110+R111-R112,2)</f>
        <v>0</v>
      </c>
      <c r="T112" s="53"/>
      <c r="U112" s="80"/>
      <c r="V112" s="80"/>
      <c r="W112" s="80"/>
    </row>
    <row r="113" spans="1:30" x14ac:dyDescent="0.2">
      <c r="C113" s="2" t="s">
        <v>470</v>
      </c>
      <c r="P113" s="124" t="s">
        <v>403</v>
      </c>
      <c r="R113" s="256"/>
      <c r="S113" s="53"/>
      <c r="T113" s="53"/>
      <c r="U113" s="80"/>
      <c r="V113" s="80"/>
      <c r="W113" s="80"/>
    </row>
    <row r="114" spans="1:30" x14ac:dyDescent="0.2">
      <c r="C114" s="60" t="s">
        <v>1344</v>
      </c>
      <c r="K114" s="18"/>
      <c r="N114" s="60"/>
      <c r="P114" s="191" t="str">
        <f ca="1">IF(SUM(P115:P119),SUM(P115:P119),"")</f>
        <v/>
      </c>
      <c r="R114" s="249">
        <f ca="1">SUM(R115:R119)</f>
        <v>0</v>
      </c>
      <c r="S114" s="53">
        <f ca="1">ROUND(R114-S95*(1+$K$101)*(1+$S$109),2)</f>
        <v>0</v>
      </c>
      <c r="T114" s="53"/>
      <c r="U114" s="80"/>
      <c r="V114" s="80"/>
      <c r="W114" s="80"/>
    </row>
    <row r="115" spans="1:30" x14ac:dyDescent="0.2">
      <c r="C115" s="2" t="s">
        <v>988</v>
      </c>
      <c r="K115" s="18"/>
      <c r="N115" s="60"/>
      <c r="P115" s="192" t="str">
        <f t="shared" ref="P115:P126" ca="1" si="51">IF(R$112,R115/R$112%,"")</f>
        <v/>
      </c>
      <c r="R115" s="249">
        <f ca="1">S115</f>
        <v>0</v>
      </c>
      <c r="S115" s="62">
        <f ca="1">ROUND(S96*(1+$K$101)*(1+$S$109),2)</f>
        <v>0</v>
      </c>
      <c r="T115" s="62">
        <f t="shared" ref="T115:W115" ca="1" si="52">ROUND(T96*(1+$K$101)*(1+$S$109),2)</f>
        <v>0</v>
      </c>
      <c r="U115" s="84">
        <f t="shared" ca="1" si="52"/>
        <v>0</v>
      </c>
      <c r="V115" s="84">
        <f t="shared" ca="1" si="52"/>
        <v>0</v>
      </c>
      <c r="W115" s="84">
        <f t="shared" ca="1" si="52"/>
        <v>0</v>
      </c>
    </row>
    <row r="116" spans="1:30" x14ac:dyDescent="0.2">
      <c r="C116" s="60" t="s">
        <v>1347</v>
      </c>
      <c r="K116" s="18"/>
      <c r="N116" s="60"/>
      <c r="P116" s="192" t="str">
        <f t="shared" ca="1" si="51"/>
        <v/>
      </c>
      <c r="R116" s="249">
        <f t="shared" ref="R116:R119" ca="1" si="53">S116</f>
        <v>0</v>
      </c>
      <c r="S116" s="62">
        <f t="shared" ref="S116:W116" ca="1" si="54">ROUND(S97*(1+$K$101)*(1+$S$109),2)</f>
        <v>0</v>
      </c>
      <c r="T116" s="62">
        <f t="shared" ca="1" si="54"/>
        <v>0</v>
      </c>
      <c r="U116" s="84">
        <f t="shared" ca="1" si="54"/>
        <v>0</v>
      </c>
      <c r="V116" s="84">
        <f t="shared" ca="1" si="54"/>
        <v>0</v>
      </c>
      <c r="W116" s="84">
        <f t="shared" ca="1" si="54"/>
        <v>0</v>
      </c>
    </row>
    <row r="117" spans="1:30" x14ac:dyDescent="0.2">
      <c r="C117" s="2" t="s">
        <v>989</v>
      </c>
      <c r="K117" s="18"/>
      <c r="N117" s="60"/>
      <c r="P117" s="192" t="str">
        <f t="shared" ca="1" si="51"/>
        <v/>
      </c>
      <c r="R117" s="249">
        <f t="shared" ca="1" si="53"/>
        <v>0</v>
      </c>
      <c r="S117" s="62">
        <f t="shared" ref="S117:W117" ca="1" si="55">ROUND(S98*(1+$K$101)*(1+$S$109),2)</f>
        <v>0</v>
      </c>
      <c r="T117" s="62">
        <f t="shared" ca="1" si="55"/>
        <v>0</v>
      </c>
      <c r="U117" s="84">
        <f t="shared" ca="1" si="55"/>
        <v>0</v>
      </c>
      <c r="V117" s="84">
        <f t="shared" ca="1" si="55"/>
        <v>0</v>
      </c>
      <c r="W117" s="84">
        <f t="shared" ca="1" si="55"/>
        <v>0</v>
      </c>
    </row>
    <row r="118" spans="1:30" x14ac:dyDescent="0.2">
      <c r="C118" s="2" t="s">
        <v>990</v>
      </c>
      <c r="K118" s="18"/>
      <c r="N118" s="60"/>
      <c r="P118" s="192" t="str">
        <f t="shared" ca="1" si="51"/>
        <v/>
      </c>
      <c r="R118" s="249">
        <f t="shared" ca="1" si="53"/>
        <v>0</v>
      </c>
      <c r="S118" s="62">
        <f t="shared" ref="S118:W118" ca="1" si="56">ROUND(S99*(1+$K$101)*(1+$S$109),2)</f>
        <v>0</v>
      </c>
      <c r="T118" s="62">
        <f t="shared" ca="1" si="56"/>
        <v>0</v>
      </c>
      <c r="U118" s="84">
        <f t="shared" ca="1" si="56"/>
        <v>0</v>
      </c>
      <c r="V118" s="84">
        <f t="shared" ca="1" si="56"/>
        <v>0</v>
      </c>
      <c r="W118" s="84">
        <f t="shared" ca="1" si="56"/>
        <v>0</v>
      </c>
    </row>
    <row r="119" spans="1:30" x14ac:dyDescent="0.2">
      <c r="C119" s="52" t="s">
        <v>1348</v>
      </c>
      <c r="K119" s="18"/>
      <c r="N119" s="60"/>
      <c r="P119" s="192" t="str">
        <f t="shared" ca="1" si="51"/>
        <v/>
      </c>
      <c r="R119" s="249">
        <f t="shared" ca="1" si="53"/>
        <v>0</v>
      </c>
      <c r="S119" s="62">
        <f t="shared" ref="S119:W119" ca="1" si="57">ROUND(S100*(1+$K$101)*(1+$S$109),2)</f>
        <v>0</v>
      </c>
      <c r="T119" s="62">
        <f t="shared" ca="1" si="57"/>
        <v>0</v>
      </c>
      <c r="U119" s="84">
        <f t="shared" ca="1" si="57"/>
        <v>0</v>
      </c>
      <c r="V119" s="84">
        <f t="shared" ca="1" si="57"/>
        <v>0</v>
      </c>
      <c r="W119" s="84">
        <f t="shared" ca="1" si="57"/>
        <v>0</v>
      </c>
    </row>
    <row r="120" spans="1:30" x14ac:dyDescent="0.2">
      <c r="C120" s="2" t="s">
        <v>1045</v>
      </c>
      <c r="K120" s="18"/>
      <c r="N120" s="60"/>
      <c r="P120" s="191" t="str">
        <f t="shared" ca="1" si="51"/>
        <v/>
      </c>
      <c r="R120" s="249">
        <f ca="1">ROUND((T95-T100)*(1+$K$101)*(1+$S$109),2)</f>
        <v>0</v>
      </c>
      <c r="S120" s="53">
        <f ca="1">ROUND(R120-SUM(T115:T118),2)</f>
        <v>0</v>
      </c>
      <c r="T120" s="53"/>
      <c r="U120" s="80"/>
      <c r="V120" s="80"/>
      <c r="W120" s="80"/>
    </row>
    <row r="121" spans="1:30" s="60" customFormat="1" x14ac:dyDescent="0.2">
      <c r="A121" s="126"/>
      <c r="C121" s="60" t="s">
        <v>1352</v>
      </c>
      <c r="K121" s="18"/>
      <c r="P121" s="191" t="str">
        <f t="shared" ref="P121" ca="1" si="58">IF(R$112,R121/R$112%,"")</f>
        <v/>
      </c>
      <c r="R121" s="249">
        <f ca="1">ROUND(T100*(1+$K$101)*(1+$S$109),2)</f>
        <v>0</v>
      </c>
      <c r="S121" s="53">
        <f ca="1">ROUND(R121-T119,2)</f>
        <v>0</v>
      </c>
      <c r="T121" s="53"/>
      <c r="U121" s="80"/>
      <c r="V121" s="80"/>
      <c r="W121" s="80"/>
      <c r="X121" s="89"/>
      <c r="Y121" s="89"/>
      <c r="Z121" s="89"/>
      <c r="AA121" s="89"/>
      <c r="AB121" s="89"/>
      <c r="AC121" s="137"/>
      <c r="AD121" s="89"/>
    </row>
    <row r="122" spans="1:30" x14ac:dyDescent="0.2">
      <c r="C122" s="60" t="s">
        <v>1046</v>
      </c>
      <c r="K122" s="18"/>
      <c r="N122" s="60"/>
      <c r="P122" s="191" t="str">
        <f t="shared" ca="1" si="51"/>
        <v/>
      </c>
      <c r="R122" s="249">
        <f ca="1">ROUND((U95-U100)*(1+$K$101)*(1+$S$109),2)</f>
        <v>0</v>
      </c>
      <c r="S122" s="53">
        <f ca="1">ROUND(R122-SUM(U115:U118),2)</f>
        <v>0</v>
      </c>
      <c r="T122" s="53"/>
      <c r="U122" s="80"/>
      <c r="V122" s="80"/>
      <c r="W122" s="80"/>
    </row>
    <row r="123" spans="1:30" s="60" customFormat="1" x14ac:dyDescent="0.2">
      <c r="A123" s="126"/>
      <c r="C123" s="60" t="s">
        <v>1349</v>
      </c>
      <c r="K123" s="18"/>
      <c r="P123" s="191" t="str">
        <f t="shared" ref="P123" ca="1" si="59">IF(R$112,R123/R$112%,"")</f>
        <v/>
      </c>
      <c r="R123" s="249">
        <f ca="1">ROUND(U100*(1+$K$101)*(1+$S$109),2)</f>
        <v>0</v>
      </c>
      <c r="S123" s="53">
        <f ca="1">ROUND(R123-U119,2)</f>
        <v>0</v>
      </c>
      <c r="T123" s="53"/>
      <c r="U123" s="80"/>
      <c r="V123" s="80"/>
      <c r="W123" s="80"/>
      <c r="X123" s="89"/>
      <c r="Y123" s="89"/>
      <c r="Z123" s="89"/>
      <c r="AA123" s="89"/>
      <c r="AB123" s="89"/>
      <c r="AC123" s="137"/>
      <c r="AD123" s="89"/>
    </row>
    <row r="124" spans="1:30" x14ac:dyDescent="0.2">
      <c r="C124" s="60" t="s">
        <v>1099</v>
      </c>
      <c r="K124" s="18"/>
      <c r="P124" s="191" t="str">
        <f t="shared" ca="1" si="51"/>
        <v/>
      </c>
      <c r="R124" s="249">
        <f ca="1">ROUND((V95-V100)*(1+$K$101)*(1+$S$109),2)</f>
        <v>0</v>
      </c>
      <c r="S124" s="53">
        <f ca="1">ROUND(R124-SUM(V115:V118),2)</f>
        <v>0</v>
      </c>
      <c r="T124" s="53"/>
      <c r="U124" s="80"/>
      <c r="V124" s="80"/>
      <c r="W124" s="80"/>
    </row>
    <row r="125" spans="1:30" s="60" customFormat="1" x14ac:dyDescent="0.2">
      <c r="A125" s="126"/>
      <c r="C125" s="52" t="s">
        <v>1350</v>
      </c>
      <c r="K125" s="18"/>
      <c r="P125" s="191" t="str">
        <f t="shared" ref="P125" ca="1" si="60">IF(R$112,R125/R$112%,"")</f>
        <v/>
      </c>
      <c r="R125" s="249">
        <f ca="1">ROUND(V100*(1+$K$101)*(1+$S$109),2)</f>
        <v>0</v>
      </c>
      <c r="S125" s="53">
        <f ca="1">ROUND(R125-V119,2)</f>
        <v>0</v>
      </c>
      <c r="T125" s="53"/>
      <c r="U125" s="80"/>
      <c r="V125" s="80"/>
      <c r="W125" s="80"/>
      <c r="X125" s="89"/>
      <c r="Y125" s="89"/>
      <c r="Z125" s="89"/>
      <c r="AA125" s="89"/>
      <c r="AB125" s="89"/>
      <c r="AC125" s="137"/>
      <c r="AD125" s="89"/>
    </row>
    <row r="126" spans="1:30" x14ac:dyDescent="0.2">
      <c r="C126" s="52" t="s">
        <v>1337</v>
      </c>
      <c r="K126" s="18"/>
      <c r="N126" s="60"/>
      <c r="P126" s="191" t="str">
        <f t="shared" ca="1" si="51"/>
        <v/>
      </c>
      <c r="R126" s="249">
        <f ca="1">ROUND((W95-W100)*(1+$K$101)*(1+$S$109),2)+R110</f>
        <v>0</v>
      </c>
      <c r="S126" s="53">
        <f ca="1">ROUND(R126-SUM(W115:W118)-R110,2)</f>
        <v>0</v>
      </c>
      <c r="T126" s="53"/>
      <c r="U126" s="80"/>
      <c r="V126" s="80"/>
      <c r="W126" s="80"/>
    </row>
    <row r="127" spans="1:30" s="60" customFormat="1" x14ac:dyDescent="0.2">
      <c r="A127" s="126"/>
      <c r="C127" s="52" t="s">
        <v>1351</v>
      </c>
      <c r="K127" s="18"/>
      <c r="P127" s="191" t="str">
        <f t="shared" ref="P127" ca="1" si="61">IF(R$112,R127/R$112%,"")</f>
        <v/>
      </c>
      <c r="R127" s="249">
        <f ca="1">R112-SUM(R114,R120:R126)</f>
        <v>0</v>
      </c>
      <c r="S127" s="53">
        <f ca="1">ROUND(R127-W119-R111,2)</f>
        <v>0</v>
      </c>
      <c r="T127" s="53"/>
      <c r="U127" s="80"/>
      <c r="V127" s="80"/>
      <c r="W127" s="80"/>
      <c r="X127" s="89"/>
      <c r="Y127" s="89"/>
      <c r="Z127" s="89"/>
      <c r="AA127" s="89"/>
      <c r="AB127" s="89"/>
      <c r="AC127" s="137"/>
      <c r="AD127" s="89"/>
    </row>
    <row r="128" spans="1:30" x14ac:dyDescent="0.2">
      <c r="K128" s="18"/>
      <c r="P128" s="193">
        <f ca="1">IF(ISNUMBER(SUM(P114,P120:P127)),SUM(P114,P120:P127),"")</f>
        <v>0</v>
      </c>
      <c r="R128" s="85"/>
    </row>
    <row r="129" spans="1:32" x14ac:dyDescent="0.2">
      <c r="K129" s="18"/>
    </row>
    <row r="130" spans="1:32" ht="12.75" customHeight="1" x14ac:dyDescent="0.2">
      <c r="A130" s="586" t="s">
        <v>325</v>
      </c>
      <c r="B130" s="590" t="s">
        <v>427</v>
      </c>
      <c r="C130" s="588" t="s">
        <v>324</v>
      </c>
      <c r="D130" s="586" t="s">
        <v>1104</v>
      </c>
      <c r="E130" s="599" t="s">
        <v>326</v>
      </c>
      <c r="F130" s="599"/>
      <c r="G130" s="599"/>
      <c r="H130" s="599"/>
      <c r="I130" s="599"/>
      <c r="J130" s="599" t="s">
        <v>328</v>
      </c>
      <c r="K130" s="599"/>
      <c r="L130" s="20"/>
      <c r="M130" s="20"/>
      <c r="N130" s="599" t="s">
        <v>410</v>
      </c>
      <c r="O130" s="599"/>
      <c r="P130" s="599"/>
      <c r="Q130" s="586" t="s">
        <v>406</v>
      </c>
      <c r="R130" s="590" t="s">
        <v>407</v>
      </c>
    </row>
    <row r="131" spans="1:32" ht="39" customHeight="1" x14ac:dyDescent="0.2">
      <c r="A131" s="587"/>
      <c r="B131" s="590"/>
      <c r="C131" s="588"/>
      <c r="D131" s="587"/>
      <c r="E131" s="81" t="s">
        <v>653</v>
      </c>
      <c r="F131" s="81" t="s">
        <v>400</v>
      </c>
      <c r="G131" s="82"/>
      <c r="H131" s="81"/>
      <c r="I131" s="81" t="s">
        <v>635</v>
      </c>
      <c r="J131" s="77" t="s">
        <v>329</v>
      </c>
      <c r="K131" s="77" t="s">
        <v>306</v>
      </c>
      <c r="L131" s="77" t="s">
        <v>475</v>
      </c>
      <c r="M131" s="77" t="s">
        <v>433</v>
      </c>
      <c r="N131" s="77" t="s">
        <v>408</v>
      </c>
      <c r="O131" s="82" t="s">
        <v>401</v>
      </c>
      <c r="P131" s="77" t="s">
        <v>409</v>
      </c>
      <c r="Q131" s="587"/>
      <c r="R131" s="590"/>
      <c r="S131" s="109"/>
      <c r="T131" s="109"/>
      <c r="U131" s="110"/>
      <c r="V131" s="110"/>
      <c r="W131" s="110"/>
      <c r="X131" s="111"/>
      <c r="Y131" s="111"/>
      <c r="AA131" s="111"/>
    </row>
    <row r="132" spans="1:32" x14ac:dyDescent="0.2">
      <c r="A132" s="114"/>
      <c r="B132" s="1"/>
      <c r="C132" s="1"/>
      <c r="D132" s="1" t="s">
        <v>1105</v>
      </c>
      <c r="E132" s="1" t="s">
        <v>654</v>
      </c>
      <c r="F132" s="1" t="s">
        <v>654</v>
      </c>
      <c r="G132" s="1"/>
      <c r="H132" s="1"/>
      <c r="I132" s="1" t="s">
        <v>655</v>
      </c>
      <c r="J132" s="1"/>
      <c r="K132" s="1"/>
      <c r="L132" s="1"/>
      <c r="M132" s="1" t="s">
        <v>434</v>
      </c>
      <c r="N132" s="1"/>
      <c r="O132" s="1"/>
      <c r="P132" s="1"/>
      <c r="Q132" s="10"/>
      <c r="R132" s="249"/>
    </row>
    <row r="133" spans="1:32" x14ac:dyDescent="0.2">
      <c r="A133" s="114"/>
      <c r="B133" s="1"/>
      <c r="C133" s="6" t="s">
        <v>651</v>
      </c>
      <c r="D133" s="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0"/>
      <c r="R133" s="249"/>
    </row>
    <row r="134" spans="1:32" s="60" customFormat="1" x14ac:dyDescent="0.2">
      <c r="A134" s="114"/>
      <c r="B134" s="56"/>
      <c r="C134" s="15" t="s">
        <v>1260</v>
      </c>
      <c r="D134" s="15"/>
      <c r="E134" s="56"/>
      <c r="F134" s="56"/>
      <c r="G134" s="56"/>
      <c r="H134" s="56"/>
      <c r="I134" s="56"/>
      <c r="J134" s="56"/>
      <c r="K134" s="56"/>
      <c r="L134" s="56"/>
      <c r="M134" s="56"/>
      <c r="N134" s="56"/>
      <c r="O134" s="56"/>
      <c r="P134" s="56"/>
      <c r="Q134" s="10"/>
      <c r="R134" s="249">
        <v>0</v>
      </c>
      <c r="U134" s="79"/>
      <c r="V134" s="79"/>
      <c r="W134" s="79"/>
      <c r="X134" s="89"/>
      <c r="Y134" s="89"/>
      <c r="Z134" s="89"/>
      <c r="AA134" s="89"/>
      <c r="AB134" s="89"/>
      <c r="AC134" s="137"/>
      <c r="AD134" s="89"/>
    </row>
    <row r="135" spans="1:32" s="60" customFormat="1" x14ac:dyDescent="0.2">
      <c r="A135" s="114" t="str">
        <f>IF(C135="","",1)</f>
        <v/>
      </c>
      <c r="B135" s="56"/>
      <c r="C135" s="48"/>
      <c r="D135" s="48"/>
      <c r="E135" s="56"/>
      <c r="F135" s="56"/>
      <c r="G135" s="56"/>
      <c r="H135" s="56"/>
      <c r="I135" s="56"/>
      <c r="J135" s="58" t="str">
        <f>IF($C135="","","га")</f>
        <v/>
      </c>
      <c r="K135" s="240"/>
      <c r="L135" s="56"/>
      <c r="M135" s="56" t="str">
        <f>IFERROR(VLOOKUP($C135,Таблица!$B$715:$F$718,5,FALSE),"")</f>
        <v/>
      </c>
      <c r="N135" s="58" t="str">
        <f>IF($C135="","","т.р./га")</f>
        <v/>
      </c>
      <c r="O135" s="56"/>
      <c r="P135" s="51"/>
      <c r="Q135" s="11" t="str">
        <f>IF($C135&lt;&gt;"","V","")</f>
        <v/>
      </c>
      <c r="R135" s="249">
        <f>IF(C135="",0,IFERROR(ROUND(K135*P135,2),0))</f>
        <v>0</v>
      </c>
      <c r="S135" s="62"/>
      <c r="T135" s="62"/>
      <c r="U135" s="84"/>
      <c r="V135" s="84"/>
      <c r="W135" s="84">
        <f>R135</f>
        <v>0</v>
      </c>
      <c r="X135" s="83">
        <v>0</v>
      </c>
      <c r="Y135" s="83">
        <v>0</v>
      </c>
      <c r="Z135" s="83">
        <v>0</v>
      </c>
      <c r="AA135" s="83">
        <v>0</v>
      </c>
      <c r="AB135" s="83">
        <v>0</v>
      </c>
      <c r="AC135" s="83">
        <v>0</v>
      </c>
      <c r="AD135" s="89"/>
    </row>
    <row r="136" spans="1:32" s="60" customFormat="1" x14ac:dyDescent="0.2">
      <c r="A136" s="134" t="str">
        <f>IF(C136="","",MAX(A$135:A135)+1)</f>
        <v/>
      </c>
      <c r="B136" s="56"/>
      <c r="C136" s="48"/>
      <c r="D136" s="48"/>
      <c r="E136" s="56"/>
      <c r="F136" s="56"/>
      <c r="G136" s="56"/>
      <c r="H136" s="56"/>
      <c r="I136" s="56"/>
      <c r="J136" s="58" t="str">
        <f>IF($C136="","","га")</f>
        <v/>
      </c>
      <c r="K136" s="51"/>
      <c r="L136" s="56"/>
      <c r="M136" s="56" t="str">
        <f>IFERROR(VLOOKUP($C136,Таблица!$B$715:$F$718,5,FALSE),"")</f>
        <v/>
      </c>
      <c r="N136" s="58" t="str">
        <f>IF($C136="","","т.р./га")</f>
        <v/>
      </c>
      <c r="O136" s="56"/>
      <c r="P136" s="51"/>
      <c r="Q136" s="11" t="str">
        <f>IF($C136&lt;&gt;"","V","")</f>
        <v/>
      </c>
      <c r="R136" s="249">
        <f>IF(C136="",0,IFERROR(ROUND(K136*P136,2),0))</f>
        <v>0</v>
      </c>
      <c r="S136" s="62"/>
      <c r="T136" s="62"/>
      <c r="U136" s="84"/>
      <c r="V136" s="84"/>
      <c r="W136" s="84">
        <f>R136</f>
        <v>0</v>
      </c>
      <c r="X136" s="83">
        <v>0</v>
      </c>
      <c r="Y136" s="83">
        <v>0</v>
      </c>
      <c r="Z136" s="83">
        <v>0</v>
      </c>
      <c r="AA136" s="83">
        <v>0</v>
      </c>
      <c r="AB136" s="83">
        <v>0</v>
      </c>
      <c r="AC136" s="83">
        <v>0</v>
      </c>
      <c r="AD136" s="89"/>
    </row>
    <row r="137" spans="1:32" s="60" customFormat="1" x14ac:dyDescent="0.2">
      <c r="A137" s="114"/>
      <c r="B137" s="56"/>
      <c r="C137" s="15" t="s">
        <v>651</v>
      </c>
      <c r="D137" s="15"/>
      <c r="E137" s="56"/>
      <c r="F137" s="56"/>
      <c r="G137" s="56"/>
      <c r="H137" s="56"/>
      <c r="I137" s="56"/>
      <c r="J137" s="56"/>
      <c r="K137" s="56"/>
      <c r="L137" s="56"/>
      <c r="M137" s="56"/>
      <c r="N137" s="56"/>
      <c r="O137" s="56"/>
      <c r="P137" s="56"/>
      <c r="Q137" s="56"/>
      <c r="R137" s="249">
        <v>0</v>
      </c>
      <c r="U137" s="79"/>
      <c r="V137" s="79"/>
      <c r="W137" s="79"/>
      <c r="X137" s="89"/>
      <c r="Y137" s="89"/>
      <c r="Z137" s="89"/>
      <c r="AA137" s="89"/>
      <c r="AB137" s="89"/>
      <c r="AC137" s="89"/>
      <c r="AD137" s="89"/>
    </row>
    <row r="138" spans="1:32" x14ac:dyDescent="0.2">
      <c r="A138" s="134" t="str">
        <f>IF(C138="","",MAX(A$135:A137)+1)</f>
        <v/>
      </c>
      <c r="B138" s="1" t="str">
        <f>IFERROR(VLOOKUP($C138,Таблица!$B$205:$E$339,2,FALSE),"")</f>
        <v/>
      </c>
      <c r="C138" s="31"/>
      <c r="D138" s="31"/>
      <c r="E138" s="32"/>
      <c r="F138" s="32"/>
      <c r="G138" s="1"/>
      <c r="H138" s="1"/>
      <c r="I138" s="1"/>
      <c r="J138" s="1" t="str">
        <f t="shared" ref="J138:J152" si="62">IF($C138="","","км")</f>
        <v/>
      </c>
      <c r="K138" s="42"/>
      <c r="L138" s="1">
        <f>IFERROR(VLOOKUP($C138,Таблица!$B$205:$K$339,3,FALSE),0)</f>
        <v>0</v>
      </c>
      <c r="M138" s="1" t="str">
        <f>IFERROR(VLOOKUP($C138,Таблица!$B$205:$F$339,5,FALSE),"")</f>
        <v/>
      </c>
      <c r="N138" s="1" t="str">
        <f>IFERROR(VLOOKUP($C138,Таблица!$B$205:$E$339,4,FALSE),"")</f>
        <v/>
      </c>
      <c r="O138" s="1">
        <f>IF(E138="",1,E138)*IF(F138="",1,F138)*IF(G138="",1,G138)*IF(H138="",1,H138)*IF(I138="",1,I138)</f>
        <v>1</v>
      </c>
      <c r="P138" s="42"/>
      <c r="Q138" s="11" t="str">
        <f>IF(OR(AND(ISERROR(VLOOKUP($C138,Таблица!$B$205:$E$339,2,FALSE)),$C138&lt;&gt;""),P138&lt;&gt;""),"V","")</f>
        <v/>
      </c>
      <c r="R138" s="249">
        <f>IFERROR(ROUND(K138*IF(P138="",N138*O138,P138*O138),2),0)</f>
        <v>0</v>
      </c>
      <c r="S138" s="62">
        <f>ROUND(IFERROR(VLOOKUP($C138,Таблица!$B$205:$K$339,6,FALSE),82.5)/100*$AC138,2)</f>
        <v>0</v>
      </c>
      <c r="T138" s="62">
        <f>ROUND(IFERROR(VLOOKUP($C138,Таблица!$B$205:$K$339,7,FALSE),0)/100*$AC138,2)</f>
        <v>0</v>
      </c>
      <c r="U138" s="84">
        <f>ROUND(IFERROR(VLOOKUP($C138,Таблица!$B$205:$K$339,8,FALSE),0.5)/100*$AC138,2)</f>
        <v>0</v>
      </c>
      <c r="V138" s="84">
        <f>ROUND(IFERROR(VLOOKUP($C138,Таблица!$B$205:$K$339,9,FALSE),7)/100*$AC138,2)</f>
        <v>0</v>
      </c>
      <c r="W138" s="84">
        <f>ROUND(IFERROR(VLOOKUP($C138,Таблица!$B$205:$K$339,10,FALSE),10)/100*$AC138,2)</f>
        <v>0</v>
      </c>
      <c r="X138" s="88">
        <f>IF($R138="",0,ROUND($R138*IF($M138&gt;=110,Таблица!$P$44,Таблица!$P$36)*(1+$K$159),2))</f>
        <v>0</v>
      </c>
      <c r="Y138" s="88">
        <f>IF($R138="",0,ROUND($R138*IF($M138&gt;=110,Таблица!$P$45,Таблица!$P$37)*IF($M$12,0.8,1)*(1+$K$159),2))</f>
        <v>0</v>
      </c>
      <c r="Z138" s="88">
        <f>IF($R138="",0,ROUND($R138*IF($M138&gt;=110,Таблица!$P$46,Таблица!$P$38)*(1+$K$159),2))</f>
        <v>0</v>
      </c>
      <c r="AA138" s="88">
        <f>IF($R138="",0,ROUND($R138*IF($M138&gt;=110,Таблица!$P$47,Таблица!$P$39)*(1+$K$159),2))</f>
        <v>0</v>
      </c>
      <c r="AB138" s="88">
        <f>IF($R138="",0,ROUND($R138*IF($M138&gt;=110,Таблица!$P$48,Таблица!$P$40)*(1+$K$159),2))</f>
        <v>0</v>
      </c>
      <c r="AC138" s="139">
        <f>IFERROR(ROUND(R138*(1+$K$159),2)+SUM(X138:AB138),0)</f>
        <v>0</v>
      </c>
      <c r="AD138" s="205">
        <f>IFERROR(VLOOKUP($C138,Таблица!$B$205:$L$339,11,FALSE),0)</f>
        <v>0</v>
      </c>
      <c r="AE138" s="85"/>
      <c r="AF138" s="85"/>
    </row>
    <row r="139" spans="1:32" x14ac:dyDescent="0.2">
      <c r="A139" s="134" t="str">
        <f>IF(C139="","",MAX(A$135:A138)+1)</f>
        <v/>
      </c>
      <c r="B139" s="1" t="str">
        <f>IFERROR(VLOOKUP($C139,Таблица!$B$205:$E$339,2,FALSE),"")</f>
        <v/>
      </c>
      <c r="C139" s="31"/>
      <c r="D139" s="31"/>
      <c r="E139" s="32"/>
      <c r="F139" s="32"/>
      <c r="G139" s="1"/>
      <c r="H139" s="1"/>
      <c r="I139" s="1" t="str">
        <f t="shared" ref="I139:I152" si="63">IF(AND(K139&lt;0.1,K139&gt;0),1.35,"")</f>
        <v/>
      </c>
      <c r="J139" s="1" t="str">
        <f t="shared" si="62"/>
        <v/>
      </c>
      <c r="K139" s="42"/>
      <c r="L139" s="1">
        <f>IFERROR(VLOOKUP($C139,Таблица!$B$205:$K$339,3,FALSE),0)</f>
        <v>0</v>
      </c>
      <c r="M139" s="1" t="str">
        <f>IFERROR(VLOOKUP($C139,Таблица!$B$205:$F$339,5,FALSE),"")</f>
        <v/>
      </c>
      <c r="N139" s="1" t="str">
        <f>IFERROR(VLOOKUP($C139,Таблица!$B$205:$E$339,4,FALSE),"")</f>
        <v/>
      </c>
      <c r="O139" s="1">
        <f t="shared" ref="O139" si="64">IF(E139="",1,E139)*IF(F139="",1,F139)*IF(G139="",1,G139)*IF(H139="",1,H139)*IF(I139="",1,I139)</f>
        <v>1</v>
      </c>
      <c r="P139" s="42"/>
      <c r="Q139" s="11" t="str">
        <f>IF(OR(AND(ISERROR(VLOOKUP($C139,Таблица!$B$205:$E$339,2,FALSE)),$C139&lt;&gt;""),P139&lt;&gt;""),"V","")</f>
        <v/>
      </c>
      <c r="R139" s="249">
        <f t="shared" ref="R139:R152" si="65">IFERROR(ROUND(K139*IF(P139="",N139*O139,P139*O139),2),0)</f>
        <v>0</v>
      </c>
      <c r="S139" s="62">
        <f>ROUND(IFERROR(VLOOKUP($C139,Таблица!$B$205:$K$339,6,FALSE),82.5)/100*$AC139,2)</f>
        <v>0</v>
      </c>
      <c r="T139" s="62">
        <f>ROUND(IFERROR(VLOOKUP($C139,Таблица!$B$205:$K$339,7,FALSE),0)/100*$AC139,2)</f>
        <v>0</v>
      </c>
      <c r="U139" s="84">
        <f>ROUND(IFERROR(VLOOKUP($C139,Таблица!$B$205:$K$339,8,FALSE),0.5)/100*$AC139,2)</f>
        <v>0</v>
      </c>
      <c r="V139" s="84">
        <f>ROUND(IFERROR(VLOOKUP($C139,Таблица!$B$205:$K$339,9,FALSE),7)/100*$AC139,2)</f>
        <v>0</v>
      </c>
      <c r="W139" s="84">
        <f>ROUND(IFERROR(VLOOKUP($C139,Таблица!$B$205:$K$339,10,FALSE),10)/100*$AC139,2)</f>
        <v>0</v>
      </c>
      <c r="X139" s="88">
        <f>IF($R139="",0,ROUND($R139*IF($M139&gt;=110,Таблица!$P$44,Таблица!$P$36)*(1+$K$159),2))</f>
        <v>0</v>
      </c>
      <c r="Y139" s="88">
        <f>IF($R139="",0,ROUND($R139*IF($M139&gt;=110,Таблица!$P$45,Таблица!$P$37)*IF($M$12,0.8,1)*(1+$K$159),2))</f>
        <v>0</v>
      </c>
      <c r="Z139" s="88">
        <f>IF($R139="",0,ROUND($R139*IF($M139&gt;=110,Таблица!$P$46,Таблица!$P$38)*(1+$K$159),2))</f>
        <v>0</v>
      </c>
      <c r="AA139" s="88">
        <f>IF($R139="",0,ROUND($R139*IF($M139&gt;=110,Таблица!$P$47,Таблица!$P$39)*(1+$K$159),2))</f>
        <v>0</v>
      </c>
      <c r="AB139" s="88">
        <f>IF($R139="",0,ROUND($R139*IF($M139&gt;=110,Таблица!$P$48,Таблица!$P$40)*(1+$K$159),2))</f>
        <v>0</v>
      </c>
      <c r="AC139" s="139">
        <f t="shared" ref="AC139:AC158" si="66">IFERROR(ROUND(R139*(1+$K$159),2)+SUM(X139:AB139),0)</f>
        <v>0</v>
      </c>
      <c r="AD139" s="205">
        <f>IFERROR(VLOOKUP($C139,Таблица!$B$205:$L$339,11,FALSE),0)</f>
        <v>0</v>
      </c>
      <c r="AE139" s="85"/>
      <c r="AF139" s="85"/>
    </row>
    <row r="140" spans="1:32" x14ac:dyDescent="0.2">
      <c r="A140" s="134" t="str">
        <f>IF(C140="","",MAX(A$135:A139)+1)</f>
        <v/>
      </c>
      <c r="B140" s="1" t="str">
        <f>IFERROR(VLOOKUP($C140,Таблица!$B$205:$E$339,2,FALSE),"")</f>
        <v/>
      </c>
      <c r="C140" s="31"/>
      <c r="D140" s="31"/>
      <c r="E140" s="32"/>
      <c r="F140" s="32"/>
      <c r="G140" s="1"/>
      <c r="H140" s="1"/>
      <c r="I140" s="1" t="str">
        <f t="shared" si="63"/>
        <v/>
      </c>
      <c r="J140" s="1" t="str">
        <f t="shared" si="62"/>
        <v/>
      </c>
      <c r="K140" s="42"/>
      <c r="L140" s="1">
        <f>IFERROR(VLOOKUP($C140,Таблица!$B$205:$K$339,3,FALSE),0)</f>
        <v>0</v>
      </c>
      <c r="M140" s="1" t="str">
        <f>IFERROR(VLOOKUP($C140,Таблица!$B$205:$F$339,5,FALSE),"")</f>
        <v/>
      </c>
      <c r="N140" s="1" t="str">
        <f>IFERROR(VLOOKUP($C140,Таблица!$B$205:$E$339,4,FALSE),"")</f>
        <v/>
      </c>
      <c r="O140" s="1">
        <f t="shared" ref="O140:O151" si="67">IF(E140="",1,E140)*IF(F140="",1,F140)*IF(G140="",1,G140)*IF(H140="",1,H140)*IF(I140="",1,I140)</f>
        <v>1</v>
      </c>
      <c r="P140" s="42"/>
      <c r="Q140" s="11" t="str">
        <f>IF(OR(AND(ISERROR(VLOOKUP($C140,Таблица!$B$205:$E$339,2,FALSE)),$C140&lt;&gt;""),P140&lt;&gt;""),"V","")</f>
        <v/>
      </c>
      <c r="R140" s="249">
        <f t="shared" si="65"/>
        <v>0</v>
      </c>
      <c r="S140" s="62">
        <f>ROUND(IFERROR(VLOOKUP($C140,Таблица!$B$205:$K$339,6,FALSE),82.5)/100*$AC140,2)</f>
        <v>0</v>
      </c>
      <c r="T140" s="62">
        <f>ROUND(IFERROR(VLOOKUP($C140,Таблица!$B$205:$K$339,7,FALSE),0)/100*$AC140,2)</f>
        <v>0</v>
      </c>
      <c r="U140" s="84">
        <f>ROUND(IFERROR(VLOOKUP($C140,Таблица!$B$205:$K$339,8,FALSE),0.5)/100*$AC140,2)</f>
        <v>0</v>
      </c>
      <c r="V140" s="84">
        <f>ROUND(IFERROR(VLOOKUP($C140,Таблица!$B$205:$K$339,9,FALSE),7)/100*$AC140,2)</f>
        <v>0</v>
      </c>
      <c r="W140" s="84">
        <f>ROUND(IFERROR(VLOOKUP($C140,Таблица!$B$205:$K$339,10,FALSE),10)/100*$AC140,2)</f>
        <v>0</v>
      </c>
      <c r="X140" s="88">
        <f>IF($R140="",0,ROUND($R140*IF($M140&gt;=110,Таблица!$P$44,Таблица!$P$36)*(1+$K$159),2))</f>
        <v>0</v>
      </c>
      <c r="Y140" s="88">
        <f>IF($R140="",0,ROUND($R140*IF($M140&gt;=110,Таблица!$P$45,Таблица!$P$37)*IF($M$12,0.8,1)*(1+$K$159),2))</f>
        <v>0</v>
      </c>
      <c r="Z140" s="88">
        <f>IF($R140="",0,ROUND($R140*IF($M140&gt;=110,Таблица!$P$46,Таблица!$P$38)*(1+$K$159),2))</f>
        <v>0</v>
      </c>
      <c r="AA140" s="88">
        <f>IF($R140="",0,ROUND($R140*IF($M140&gt;=110,Таблица!$P$47,Таблица!$P$39)*(1+$K$159),2))</f>
        <v>0</v>
      </c>
      <c r="AB140" s="88">
        <f>IF($R140="",0,ROUND($R140*IF($M140&gt;=110,Таблица!$P$48,Таблица!$P$40)*(1+$K$159),2))</f>
        <v>0</v>
      </c>
      <c r="AC140" s="139">
        <f t="shared" si="66"/>
        <v>0</v>
      </c>
      <c r="AD140" s="205">
        <f>IFERROR(VLOOKUP($C140,Таблица!$B$205:$L$339,11,FALSE),0)</f>
        <v>0</v>
      </c>
      <c r="AE140" s="85"/>
      <c r="AF140" s="85"/>
    </row>
    <row r="141" spans="1:32" s="60" customFormat="1" x14ac:dyDescent="0.2">
      <c r="A141" s="134" t="str">
        <f>IF(C141="","",MAX(A134:A$135)+1)</f>
        <v/>
      </c>
      <c r="B141" s="56" t="str">
        <f>IFERROR(VLOOKUP($C141,Таблица!$B$205:$E$339,2,FALSE),"")</f>
        <v/>
      </c>
      <c r="C141" s="48"/>
      <c r="D141" s="48"/>
      <c r="E141" s="50"/>
      <c r="F141" s="50"/>
      <c r="G141" s="56"/>
      <c r="H141" s="56"/>
      <c r="I141" s="56" t="str">
        <f t="shared" ref="I141:I148" si="68">IF(AND(K141&lt;0.1,K141&gt;0),1.35,"")</f>
        <v/>
      </c>
      <c r="J141" s="56" t="str">
        <f t="shared" si="62"/>
        <v/>
      </c>
      <c r="K141" s="51"/>
      <c r="L141" s="56">
        <f>IFERROR(VLOOKUP($C141,Таблица!$B$205:$K$339,3,FALSE),0)</f>
        <v>0</v>
      </c>
      <c r="M141" s="56" t="str">
        <f>IFERROR(VLOOKUP($C141,Таблица!$B$205:$F$339,5,FALSE),"")</f>
        <v/>
      </c>
      <c r="N141" s="56" t="str">
        <f>IFERROR(VLOOKUP($C141,Таблица!$B$205:$E$339,4,FALSE),"")</f>
        <v/>
      </c>
      <c r="O141" s="56">
        <f t="shared" ref="O141:O148" si="69">IF(E141="",1,E141)*IF(F141="",1,F141)*IF(G141="",1,G141)*IF(H141="",1,H141)*IF(I141="",1,I141)</f>
        <v>1</v>
      </c>
      <c r="P141" s="51"/>
      <c r="Q141" s="11" t="str">
        <f>IF(OR(AND(ISERROR(VLOOKUP($C141,Таблица!$B$205:$E$339,2,FALSE)),$C141&lt;&gt;""),P141&lt;&gt;""),"V","")</f>
        <v/>
      </c>
      <c r="R141" s="249">
        <f t="shared" si="65"/>
        <v>0</v>
      </c>
      <c r="S141" s="62">
        <f>ROUND(IFERROR(VLOOKUP($C141,Таблица!$B$205:$K$339,6,FALSE),82.5)/100*$AC141,2)</f>
        <v>0</v>
      </c>
      <c r="T141" s="62">
        <f>ROUND(IFERROR(VLOOKUP($C141,Таблица!$B$205:$K$339,7,FALSE),0)/100*$AC141,2)</f>
        <v>0</v>
      </c>
      <c r="U141" s="84">
        <f>ROUND(IFERROR(VLOOKUP($C141,Таблица!$B$205:$K$339,8,FALSE),0.5)/100*$AC141,2)</f>
        <v>0</v>
      </c>
      <c r="V141" s="84">
        <f>ROUND(IFERROR(VLOOKUP($C141,Таблица!$B$205:$K$339,9,FALSE),7)/100*$AC141,2)</f>
        <v>0</v>
      </c>
      <c r="W141" s="84">
        <f>ROUND(IFERROR(VLOOKUP($C141,Таблица!$B$205:$K$339,10,FALSE),10)/100*$AC141,2)</f>
        <v>0</v>
      </c>
      <c r="X141" s="88">
        <f>IF($R141="",0,ROUND($R141*IF($M141&gt;=110,Таблица!$P$44,Таблица!$P$36)*(1+$K$159),2))</f>
        <v>0</v>
      </c>
      <c r="Y141" s="88">
        <f>IF($R141="",0,ROUND($R141*IF($M141&gt;=110,Таблица!$P$45,Таблица!$P$37)*IF($M$12,0.8,1)*(1+$K$159),2))</f>
        <v>0</v>
      </c>
      <c r="Z141" s="88">
        <f>IF($R141="",0,ROUND($R141*IF($M141&gt;=110,Таблица!$P$46,Таблица!$P$38)*(1+$K$159),2))</f>
        <v>0</v>
      </c>
      <c r="AA141" s="88">
        <f>IF($R141="",0,ROUND($R141*IF($M141&gt;=110,Таблица!$P$47,Таблица!$P$39)*(1+$K$159),2))</f>
        <v>0</v>
      </c>
      <c r="AB141" s="88">
        <f>IF($R141="",0,ROUND($R141*IF($M141&gt;=110,Таблица!$P$48,Таблица!$P$40)*(1+$K$159),2))</f>
        <v>0</v>
      </c>
      <c r="AC141" s="139">
        <f t="shared" ref="AC141:AC148" si="70">IFERROR(ROUND(R141*(1+$K$159),2)+SUM(X141:AB141),0)</f>
        <v>0</v>
      </c>
      <c r="AD141" s="205">
        <f>IFERROR(VLOOKUP($C141,Таблица!$B$205:$L$339,11,FALSE),0)</f>
        <v>0</v>
      </c>
      <c r="AE141" s="85"/>
      <c r="AF141" s="85"/>
    </row>
    <row r="142" spans="1:32" s="60" customFormat="1" x14ac:dyDescent="0.2">
      <c r="A142" s="134" t="str">
        <f>IF(C142="","",MAX(A$135:A135)+1)</f>
        <v/>
      </c>
      <c r="B142" s="56" t="str">
        <f>IFERROR(VLOOKUP($C142,Таблица!$B$205:$E$339,2,FALSE),"")</f>
        <v/>
      </c>
      <c r="C142" s="48"/>
      <c r="D142" s="48"/>
      <c r="E142" s="50"/>
      <c r="F142" s="50"/>
      <c r="G142" s="56"/>
      <c r="H142" s="56"/>
      <c r="I142" s="56" t="str">
        <f t="shared" si="68"/>
        <v/>
      </c>
      <c r="J142" s="56" t="str">
        <f t="shared" si="62"/>
        <v/>
      </c>
      <c r="K142" s="51"/>
      <c r="L142" s="56">
        <f>IFERROR(VLOOKUP($C142,Таблица!$B$205:$K$339,3,FALSE),0)</f>
        <v>0</v>
      </c>
      <c r="M142" s="56" t="str">
        <f>IFERROR(VLOOKUP($C142,Таблица!$B$205:$F$339,5,FALSE),"")</f>
        <v/>
      </c>
      <c r="N142" s="56" t="str">
        <f>IFERROR(VLOOKUP($C142,Таблица!$B$205:$E$339,4,FALSE),"")</f>
        <v/>
      </c>
      <c r="O142" s="56">
        <f t="shared" si="69"/>
        <v>1</v>
      </c>
      <c r="P142" s="51"/>
      <c r="Q142" s="11" t="str">
        <f>IF(OR(AND(ISERROR(VLOOKUP($C142,Таблица!$B$205:$E$339,2,FALSE)),$C142&lt;&gt;""),P142&lt;&gt;""),"V","")</f>
        <v/>
      </c>
      <c r="R142" s="249">
        <f t="shared" si="65"/>
        <v>0</v>
      </c>
      <c r="S142" s="62">
        <f>ROUND(IFERROR(VLOOKUP($C142,Таблица!$B$205:$K$339,6,FALSE),82.5)/100*$AC142,2)</f>
        <v>0</v>
      </c>
      <c r="T142" s="62">
        <f>ROUND(IFERROR(VLOOKUP($C142,Таблица!$B$205:$K$339,7,FALSE),0)/100*$AC142,2)</f>
        <v>0</v>
      </c>
      <c r="U142" s="84">
        <f>ROUND(IFERROR(VLOOKUP($C142,Таблица!$B$205:$K$339,8,FALSE),0.5)/100*$AC142,2)</f>
        <v>0</v>
      </c>
      <c r="V142" s="84">
        <f>ROUND(IFERROR(VLOOKUP($C142,Таблица!$B$205:$K$339,9,FALSE),7)/100*$AC142,2)</f>
        <v>0</v>
      </c>
      <c r="W142" s="84">
        <f>ROUND(IFERROR(VLOOKUP($C142,Таблица!$B$205:$K$339,10,FALSE),10)/100*$AC142,2)</f>
        <v>0</v>
      </c>
      <c r="X142" s="88">
        <f>IF($R142="",0,ROUND($R142*IF($M142&gt;=110,Таблица!$P$44,Таблица!$P$36)*(1+$K$159),2))</f>
        <v>0</v>
      </c>
      <c r="Y142" s="88">
        <f>IF($R142="",0,ROUND($R142*IF($M142&gt;=110,Таблица!$P$45,Таблица!$P$37)*IF($M$12,0.8,1)*(1+$K$159),2))</f>
        <v>0</v>
      </c>
      <c r="Z142" s="88">
        <f>IF($R142="",0,ROUND($R142*IF($M142&gt;=110,Таблица!$P$46,Таблица!$P$38)*(1+$K$159),2))</f>
        <v>0</v>
      </c>
      <c r="AA142" s="88">
        <f>IF($R142="",0,ROUND($R142*IF($M142&gt;=110,Таблица!$P$47,Таблица!$P$39)*(1+$K$159),2))</f>
        <v>0</v>
      </c>
      <c r="AB142" s="88">
        <f>IF($R142="",0,ROUND($R142*IF($M142&gt;=110,Таблица!$P$48,Таблица!$P$40)*(1+$K$159),2))</f>
        <v>0</v>
      </c>
      <c r="AC142" s="139">
        <f t="shared" si="70"/>
        <v>0</v>
      </c>
      <c r="AD142" s="205">
        <f>IFERROR(VLOOKUP($C142,Таблица!$B$205:$L$339,11,FALSE),0)</f>
        <v>0</v>
      </c>
      <c r="AE142" s="85"/>
      <c r="AF142" s="85"/>
    </row>
    <row r="143" spans="1:32" s="60" customFormat="1" x14ac:dyDescent="0.2">
      <c r="A143" s="134" t="str">
        <f>IF(C143="","",MAX(A$135:A135)+1)</f>
        <v/>
      </c>
      <c r="B143" s="56" t="str">
        <f>IFERROR(VLOOKUP($C143,Таблица!$B$205:$E$339,2,FALSE),"")</f>
        <v/>
      </c>
      <c r="C143" s="48"/>
      <c r="D143" s="48"/>
      <c r="E143" s="50"/>
      <c r="F143" s="50"/>
      <c r="G143" s="56"/>
      <c r="H143" s="56"/>
      <c r="I143" s="56" t="str">
        <f t="shared" si="68"/>
        <v/>
      </c>
      <c r="J143" s="56" t="str">
        <f t="shared" si="62"/>
        <v/>
      </c>
      <c r="K143" s="51"/>
      <c r="L143" s="56">
        <f>IFERROR(VLOOKUP($C143,Таблица!$B$205:$K$339,3,FALSE),0)</f>
        <v>0</v>
      </c>
      <c r="M143" s="56" t="str">
        <f>IFERROR(VLOOKUP($C143,Таблица!$B$205:$F$339,5,FALSE),"")</f>
        <v/>
      </c>
      <c r="N143" s="56" t="str">
        <f>IFERROR(VLOOKUP($C143,Таблица!$B$205:$E$339,4,FALSE),"")</f>
        <v/>
      </c>
      <c r="O143" s="56">
        <f t="shared" si="69"/>
        <v>1</v>
      </c>
      <c r="P143" s="51"/>
      <c r="Q143" s="11" t="str">
        <f>IF(OR(AND(ISERROR(VLOOKUP($C143,Таблица!$B$205:$E$339,2,FALSE)),$C143&lt;&gt;""),P143&lt;&gt;""),"V","")</f>
        <v/>
      </c>
      <c r="R143" s="249">
        <f t="shared" si="65"/>
        <v>0</v>
      </c>
      <c r="S143" s="62">
        <f>ROUND(IFERROR(VLOOKUP($C143,Таблица!$B$205:$K$339,6,FALSE),82.5)/100*$AC143,2)</f>
        <v>0</v>
      </c>
      <c r="T143" s="62">
        <f>ROUND(IFERROR(VLOOKUP($C143,Таблица!$B$205:$K$339,7,FALSE),0)/100*$AC143,2)</f>
        <v>0</v>
      </c>
      <c r="U143" s="84">
        <f>ROUND(IFERROR(VLOOKUP($C143,Таблица!$B$205:$K$339,8,FALSE),0.5)/100*$AC143,2)</f>
        <v>0</v>
      </c>
      <c r="V143" s="84">
        <f>ROUND(IFERROR(VLOOKUP($C143,Таблица!$B$205:$K$339,9,FALSE),7)/100*$AC143,2)</f>
        <v>0</v>
      </c>
      <c r="W143" s="84">
        <f>ROUND(IFERROR(VLOOKUP($C143,Таблица!$B$205:$K$339,10,FALSE),10)/100*$AC143,2)</f>
        <v>0</v>
      </c>
      <c r="X143" s="88">
        <f>IF($R143="",0,ROUND($R143*IF($M143&gt;=110,Таблица!$P$44,Таблица!$P$36)*(1+$K$159),2))</f>
        <v>0</v>
      </c>
      <c r="Y143" s="88">
        <f>IF($R143="",0,ROUND($R143*IF($M143&gt;=110,Таблица!$P$45,Таблица!$P$37)*IF($M$12,0.8,1)*(1+$K$159),2))</f>
        <v>0</v>
      </c>
      <c r="Z143" s="88">
        <f>IF($R143="",0,ROUND($R143*IF($M143&gt;=110,Таблица!$P$46,Таблица!$P$38)*(1+$K$159),2))</f>
        <v>0</v>
      </c>
      <c r="AA143" s="88">
        <f>IF($R143="",0,ROUND($R143*IF($M143&gt;=110,Таблица!$P$47,Таблица!$P$39)*(1+$K$159),2))</f>
        <v>0</v>
      </c>
      <c r="AB143" s="88">
        <f>IF($R143="",0,ROUND($R143*IF($M143&gt;=110,Таблица!$P$48,Таблица!$P$40)*(1+$K$159),2))</f>
        <v>0</v>
      </c>
      <c r="AC143" s="139">
        <f t="shared" si="70"/>
        <v>0</v>
      </c>
      <c r="AD143" s="205">
        <f>IFERROR(VLOOKUP($C143,Таблица!$B$205:$L$339,11,FALSE),0)</f>
        <v>0</v>
      </c>
      <c r="AE143" s="85"/>
      <c r="AF143" s="85"/>
    </row>
    <row r="144" spans="1:32" s="60" customFormat="1" x14ac:dyDescent="0.2">
      <c r="A144" s="134" t="str">
        <f>IF(C144="","",MAX(A$135:A135)+1)</f>
        <v/>
      </c>
      <c r="B144" s="56" t="str">
        <f>IFERROR(VLOOKUP($C144,Таблица!$B$205:$E$339,2,FALSE),"")</f>
        <v/>
      </c>
      <c r="C144" s="48"/>
      <c r="D144" s="48"/>
      <c r="E144" s="50"/>
      <c r="F144" s="50"/>
      <c r="G144" s="56"/>
      <c r="H144" s="56"/>
      <c r="I144" s="56" t="str">
        <f t="shared" si="68"/>
        <v/>
      </c>
      <c r="J144" s="56" t="str">
        <f t="shared" si="62"/>
        <v/>
      </c>
      <c r="K144" s="51"/>
      <c r="L144" s="56">
        <f>IFERROR(VLOOKUP($C144,Таблица!$B$205:$K$339,3,FALSE),0)</f>
        <v>0</v>
      </c>
      <c r="M144" s="56" t="str">
        <f>IFERROR(VLOOKUP($C144,Таблица!$B$205:$F$339,5,FALSE),"")</f>
        <v/>
      </c>
      <c r="N144" s="56" t="str">
        <f>IFERROR(VLOOKUP($C144,Таблица!$B$205:$E$339,4,FALSE),"")</f>
        <v/>
      </c>
      <c r="O144" s="56">
        <f t="shared" si="69"/>
        <v>1</v>
      </c>
      <c r="P144" s="51"/>
      <c r="Q144" s="11" t="str">
        <f>IF(OR(AND(ISERROR(VLOOKUP($C144,Таблица!$B$205:$E$339,2,FALSE)),$C144&lt;&gt;""),P144&lt;&gt;""),"V","")</f>
        <v/>
      </c>
      <c r="R144" s="249">
        <f t="shared" si="65"/>
        <v>0</v>
      </c>
      <c r="S144" s="62">
        <f>ROUND(IFERROR(VLOOKUP($C144,Таблица!$B$205:$K$339,6,FALSE),82.5)/100*$AC144,2)</f>
        <v>0</v>
      </c>
      <c r="T144" s="62">
        <f>ROUND(IFERROR(VLOOKUP($C144,Таблица!$B$205:$K$339,7,FALSE),0)/100*$AC144,2)</f>
        <v>0</v>
      </c>
      <c r="U144" s="84">
        <f>ROUND(IFERROR(VLOOKUP($C144,Таблица!$B$205:$K$339,8,FALSE),0.5)/100*$AC144,2)</f>
        <v>0</v>
      </c>
      <c r="V144" s="84">
        <f>ROUND(IFERROR(VLOOKUP($C144,Таблица!$B$205:$K$339,9,FALSE),7)/100*$AC144,2)</f>
        <v>0</v>
      </c>
      <c r="W144" s="84">
        <f>ROUND(IFERROR(VLOOKUP($C144,Таблица!$B$205:$K$339,10,FALSE),10)/100*$AC144,2)</f>
        <v>0</v>
      </c>
      <c r="X144" s="88">
        <f>IF($R144="",0,ROUND($R144*IF($M144&gt;=110,Таблица!$P$44,Таблица!$P$36)*(1+$K$159),2))</f>
        <v>0</v>
      </c>
      <c r="Y144" s="88">
        <f>IF($R144="",0,ROUND($R144*IF($M144&gt;=110,Таблица!$P$45,Таблица!$P$37)*IF($M$12,0.8,1)*(1+$K$159),2))</f>
        <v>0</v>
      </c>
      <c r="Z144" s="88">
        <f>IF($R144="",0,ROUND($R144*IF($M144&gt;=110,Таблица!$P$46,Таблица!$P$38)*(1+$K$159),2))</f>
        <v>0</v>
      </c>
      <c r="AA144" s="88">
        <f>IF($R144="",0,ROUND($R144*IF($M144&gt;=110,Таблица!$P$47,Таблица!$P$39)*(1+$K$159),2))</f>
        <v>0</v>
      </c>
      <c r="AB144" s="88">
        <f>IF($R144="",0,ROUND($R144*IF($M144&gt;=110,Таблица!$P$48,Таблица!$P$40)*(1+$K$159),2))</f>
        <v>0</v>
      </c>
      <c r="AC144" s="139">
        <f t="shared" si="70"/>
        <v>0</v>
      </c>
      <c r="AD144" s="205">
        <f>IFERROR(VLOOKUP($C144,Таблица!$B$205:$L$339,11,FALSE),0)</f>
        <v>0</v>
      </c>
      <c r="AE144" s="85"/>
      <c r="AF144" s="85"/>
    </row>
    <row r="145" spans="1:32" s="60" customFormat="1" x14ac:dyDescent="0.2">
      <c r="A145" s="134" t="str">
        <f>IF(C145="","",MAX(A$135:A136)+1)</f>
        <v/>
      </c>
      <c r="B145" s="56" t="str">
        <f>IFERROR(VLOOKUP($C145,Таблица!$B$205:$E$339,2,FALSE),"")</f>
        <v/>
      </c>
      <c r="C145" s="48"/>
      <c r="D145" s="48"/>
      <c r="E145" s="50"/>
      <c r="F145" s="50"/>
      <c r="G145" s="56"/>
      <c r="H145" s="56"/>
      <c r="I145" s="56" t="str">
        <f t="shared" si="68"/>
        <v/>
      </c>
      <c r="J145" s="56" t="str">
        <f t="shared" si="62"/>
        <v/>
      </c>
      <c r="K145" s="51"/>
      <c r="L145" s="56">
        <f>IFERROR(VLOOKUP($C145,Таблица!$B$205:$K$339,3,FALSE),0)</f>
        <v>0</v>
      </c>
      <c r="M145" s="56" t="str">
        <f>IFERROR(VLOOKUP($C145,Таблица!$B$205:$F$339,5,FALSE),"")</f>
        <v/>
      </c>
      <c r="N145" s="56" t="str">
        <f>IFERROR(VLOOKUP($C145,Таблица!$B$205:$E$339,4,FALSE),"")</f>
        <v/>
      </c>
      <c r="O145" s="56">
        <f t="shared" si="69"/>
        <v>1</v>
      </c>
      <c r="P145" s="51"/>
      <c r="Q145" s="11" t="str">
        <f>IF(OR(AND(ISERROR(VLOOKUP($C145,Таблица!$B$205:$E$339,2,FALSE)),$C145&lt;&gt;""),P145&lt;&gt;""),"V","")</f>
        <v/>
      </c>
      <c r="R145" s="249">
        <f t="shared" si="65"/>
        <v>0</v>
      </c>
      <c r="S145" s="62">
        <f>ROUND(IFERROR(VLOOKUP($C145,Таблица!$B$205:$K$339,6,FALSE),82.5)/100*$AC145,2)</f>
        <v>0</v>
      </c>
      <c r="T145" s="62">
        <f>ROUND(IFERROR(VLOOKUP($C145,Таблица!$B$205:$K$339,7,FALSE),0)/100*$AC145,2)</f>
        <v>0</v>
      </c>
      <c r="U145" s="84">
        <f>ROUND(IFERROR(VLOOKUP($C145,Таблица!$B$205:$K$339,8,FALSE),0.5)/100*$AC145,2)</f>
        <v>0</v>
      </c>
      <c r="V145" s="84">
        <f>ROUND(IFERROR(VLOOKUP($C145,Таблица!$B$205:$K$339,9,FALSE),7)/100*$AC145,2)</f>
        <v>0</v>
      </c>
      <c r="W145" s="84">
        <f>ROUND(IFERROR(VLOOKUP($C145,Таблица!$B$205:$K$339,10,FALSE),10)/100*$AC145,2)</f>
        <v>0</v>
      </c>
      <c r="X145" s="88">
        <f>IF($R145="",0,ROUND($R145*IF($M145&gt;=110,Таблица!$P$44,Таблица!$P$36)*(1+$K$159),2))</f>
        <v>0</v>
      </c>
      <c r="Y145" s="88">
        <f>IF($R145="",0,ROUND($R145*IF($M145&gt;=110,Таблица!$P$45,Таблица!$P$37)*IF($M$12,0.8,1)*(1+$K$159),2))</f>
        <v>0</v>
      </c>
      <c r="Z145" s="88">
        <f>IF($R145="",0,ROUND($R145*IF($M145&gt;=110,Таблица!$P$46,Таблица!$P$38)*(1+$K$159),2))</f>
        <v>0</v>
      </c>
      <c r="AA145" s="88">
        <f>IF($R145="",0,ROUND($R145*IF($M145&gt;=110,Таблица!$P$47,Таблица!$P$39)*(1+$K$159),2))</f>
        <v>0</v>
      </c>
      <c r="AB145" s="88">
        <f>IF($R145="",0,ROUND($R145*IF($M145&gt;=110,Таблица!$P$48,Таблица!$P$40)*(1+$K$159),2))</f>
        <v>0</v>
      </c>
      <c r="AC145" s="139">
        <f t="shared" si="70"/>
        <v>0</v>
      </c>
      <c r="AD145" s="205">
        <f>IFERROR(VLOOKUP($C145,Таблица!$B$205:$L$339,11,FALSE),0)</f>
        <v>0</v>
      </c>
      <c r="AE145" s="85"/>
      <c r="AF145" s="85"/>
    </row>
    <row r="146" spans="1:32" s="60" customFormat="1" x14ac:dyDescent="0.2">
      <c r="A146" s="134" t="str">
        <f>IF(C146="","",MAX(A$135:A137)+1)</f>
        <v/>
      </c>
      <c r="B146" s="56" t="str">
        <f>IFERROR(VLOOKUP($C146,Таблица!$B$205:$E$339,2,FALSE),"")</f>
        <v/>
      </c>
      <c r="C146" s="48"/>
      <c r="D146" s="48"/>
      <c r="E146" s="50"/>
      <c r="F146" s="50"/>
      <c r="G146" s="56"/>
      <c r="H146" s="56"/>
      <c r="I146" s="56" t="str">
        <f t="shared" si="68"/>
        <v/>
      </c>
      <c r="J146" s="56" t="str">
        <f t="shared" si="62"/>
        <v/>
      </c>
      <c r="K146" s="51"/>
      <c r="L146" s="56">
        <f>IFERROR(VLOOKUP($C146,Таблица!$B$205:$K$339,3,FALSE),0)</f>
        <v>0</v>
      </c>
      <c r="M146" s="56" t="str">
        <f>IFERROR(VLOOKUP($C146,Таблица!$B$205:$F$339,5,FALSE),"")</f>
        <v/>
      </c>
      <c r="N146" s="56" t="str">
        <f>IFERROR(VLOOKUP($C146,Таблица!$B$205:$E$339,4,FALSE),"")</f>
        <v/>
      </c>
      <c r="O146" s="56">
        <f t="shared" si="69"/>
        <v>1</v>
      </c>
      <c r="P146" s="51"/>
      <c r="Q146" s="11" t="str">
        <f>IF(OR(AND(ISERROR(VLOOKUP($C146,Таблица!$B$205:$E$339,2,FALSE)),$C146&lt;&gt;""),P146&lt;&gt;""),"V","")</f>
        <v/>
      </c>
      <c r="R146" s="249">
        <f t="shared" si="65"/>
        <v>0</v>
      </c>
      <c r="S146" s="62">
        <f>ROUND(IFERROR(VLOOKUP($C146,Таблица!$B$205:$K$339,6,FALSE),82.5)/100*$AC146,2)</f>
        <v>0</v>
      </c>
      <c r="T146" s="62">
        <f>ROUND(IFERROR(VLOOKUP($C146,Таблица!$B$205:$K$339,7,FALSE),0)/100*$AC146,2)</f>
        <v>0</v>
      </c>
      <c r="U146" s="84">
        <f>ROUND(IFERROR(VLOOKUP($C146,Таблица!$B$205:$K$339,8,FALSE),0.5)/100*$AC146,2)</f>
        <v>0</v>
      </c>
      <c r="V146" s="84">
        <f>ROUND(IFERROR(VLOOKUP($C146,Таблица!$B$205:$K$339,9,FALSE),7)/100*$AC146,2)</f>
        <v>0</v>
      </c>
      <c r="W146" s="84">
        <f>ROUND(IFERROR(VLOOKUP($C146,Таблица!$B$205:$K$339,10,FALSE),10)/100*$AC146,2)</f>
        <v>0</v>
      </c>
      <c r="X146" s="88">
        <f>IF($R146="",0,ROUND($R146*IF($M146&gt;=110,Таблица!$P$44,Таблица!$P$36)*(1+$K$159),2))</f>
        <v>0</v>
      </c>
      <c r="Y146" s="88">
        <f>IF($R146="",0,ROUND($R146*IF($M146&gt;=110,Таблица!$P$45,Таблица!$P$37)*IF($M$12,0.8,1)*(1+$K$159),2))</f>
        <v>0</v>
      </c>
      <c r="Z146" s="88">
        <f>IF($R146="",0,ROUND($R146*IF($M146&gt;=110,Таблица!$P$46,Таблица!$P$38)*(1+$K$159),2))</f>
        <v>0</v>
      </c>
      <c r="AA146" s="88">
        <f>IF($R146="",0,ROUND($R146*IF($M146&gt;=110,Таблица!$P$47,Таблица!$P$39)*(1+$K$159),2))</f>
        <v>0</v>
      </c>
      <c r="AB146" s="88">
        <f>IF($R146="",0,ROUND($R146*IF($M146&gt;=110,Таблица!$P$48,Таблица!$P$40)*(1+$K$159),2))</f>
        <v>0</v>
      </c>
      <c r="AC146" s="139">
        <f t="shared" si="70"/>
        <v>0</v>
      </c>
      <c r="AD146" s="205">
        <f>IFERROR(VLOOKUP($C146,Таблица!$B$205:$L$339,11,FALSE),0)</f>
        <v>0</v>
      </c>
      <c r="AE146" s="85"/>
      <c r="AF146" s="85"/>
    </row>
    <row r="147" spans="1:32" s="60" customFormat="1" x14ac:dyDescent="0.2">
      <c r="A147" s="134" t="str">
        <f>IF(C147="","",MAX(A$135:A138)+1)</f>
        <v/>
      </c>
      <c r="B147" s="56" t="str">
        <f>IFERROR(VLOOKUP($C147,Таблица!$B$205:$E$339,2,FALSE),"")</f>
        <v/>
      </c>
      <c r="C147" s="48"/>
      <c r="D147" s="48"/>
      <c r="E147" s="50"/>
      <c r="F147" s="50"/>
      <c r="G147" s="56"/>
      <c r="H147" s="56"/>
      <c r="I147" s="56" t="str">
        <f t="shared" si="68"/>
        <v/>
      </c>
      <c r="J147" s="56" t="str">
        <f t="shared" si="62"/>
        <v/>
      </c>
      <c r="K147" s="51"/>
      <c r="L147" s="56">
        <f>IFERROR(VLOOKUP($C147,Таблица!$B$205:$K$339,3,FALSE),0)</f>
        <v>0</v>
      </c>
      <c r="M147" s="56" t="str">
        <f>IFERROR(VLOOKUP($C147,Таблица!$B$205:$F$339,5,FALSE),"")</f>
        <v/>
      </c>
      <c r="N147" s="56" t="str">
        <f>IFERROR(VLOOKUP($C147,Таблица!$B$205:$E$339,4,FALSE),"")</f>
        <v/>
      </c>
      <c r="O147" s="56">
        <f t="shared" si="69"/>
        <v>1</v>
      </c>
      <c r="P147" s="51"/>
      <c r="Q147" s="11" t="str">
        <f>IF(OR(AND(ISERROR(VLOOKUP($C147,Таблица!$B$205:$E$339,2,FALSE)),$C147&lt;&gt;""),P147&lt;&gt;""),"V","")</f>
        <v/>
      </c>
      <c r="R147" s="249">
        <f t="shared" si="65"/>
        <v>0</v>
      </c>
      <c r="S147" s="62">
        <f>ROUND(IFERROR(VLOOKUP($C147,Таблица!$B$205:$K$339,6,FALSE),82.5)/100*$AC147,2)</f>
        <v>0</v>
      </c>
      <c r="T147" s="62">
        <f>ROUND(IFERROR(VLOOKUP($C147,Таблица!$B$205:$K$339,7,FALSE),0)/100*$AC147,2)</f>
        <v>0</v>
      </c>
      <c r="U147" s="84">
        <f>ROUND(IFERROR(VLOOKUP($C147,Таблица!$B$205:$K$339,8,FALSE),0.5)/100*$AC147,2)</f>
        <v>0</v>
      </c>
      <c r="V147" s="84">
        <f>ROUND(IFERROR(VLOOKUP($C147,Таблица!$B$205:$K$339,9,FALSE),7)/100*$AC147,2)</f>
        <v>0</v>
      </c>
      <c r="W147" s="84">
        <f>ROUND(IFERROR(VLOOKUP($C147,Таблица!$B$205:$K$339,10,FALSE),10)/100*$AC147,2)</f>
        <v>0</v>
      </c>
      <c r="X147" s="88">
        <f>IF($R147="",0,ROUND($R147*IF($M147&gt;=110,Таблица!$P$44,Таблица!$P$36)*(1+$K$159),2))</f>
        <v>0</v>
      </c>
      <c r="Y147" s="88">
        <f>IF($R147="",0,ROUND($R147*IF($M147&gt;=110,Таблица!$P$45,Таблица!$P$37)*IF($M$12,0.8,1)*(1+$K$159),2))</f>
        <v>0</v>
      </c>
      <c r="Z147" s="88">
        <f>IF($R147="",0,ROUND($R147*IF($M147&gt;=110,Таблица!$P$46,Таблица!$P$38)*(1+$K$159),2))</f>
        <v>0</v>
      </c>
      <c r="AA147" s="88">
        <f>IF($R147="",0,ROUND($R147*IF($M147&gt;=110,Таблица!$P$47,Таблица!$P$39)*(1+$K$159),2))</f>
        <v>0</v>
      </c>
      <c r="AB147" s="88">
        <f>IF($R147="",0,ROUND($R147*IF($M147&gt;=110,Таблица!$P$48,Таблица!$P$40)*(1+$K$159),2))</f>
        <v>0</v>
      </c>
      <c r="AC147" s="139">
        <f t="shared" si="70"/>
        <v>0</v>
      </c>
      <c r="AD147" s="205">
        <f>IFERROR(VLOOKUP($C147,Таблица!$B$205:$L$339,11,FALSE),0)</f>
        <v>0</v>
      </c>
      <c r="AE147" s="85"/>
      <c r="AF147" s="85"/>
    </row>
    <row r="148" spans="1:32" s="60" customFormat="1" x14ac:dyDescent="0.2">
      <c r="A148" s="134" t="str">
        <f>IF(C148="","",MAX(A$135:A139)+1)</f>
        <v/>
      </c>
      <c r="B148" s="56" t="str">
        <f>IFERROR(VLOOKUP($C148,Таблица!$B$205:$E$339,2,FALSE),"")</f>
        <v/>
      </c>
      <c r="C148" s="48"/>
      <c r="D148" s="48"/>
      <c r="E148" s="50"/>
      <c r="F148" s="50"/>
      <c r="G148" s="56"/>
      <c r="H148" s="56"/>
      <c r="I148" s="56" t="str">
        <f t="shared" si="68"/>
        <v/>
      </c>
      <c r="J148" s="56" t="str">
        <f t="shared" si="62"/>
        <v/>
      </c>
      <c r="K148" s="51"/>
      <c r="L148" s="56">
        <f>IFERROR(VLOOKUP($C148,Таблица!$B$205:$K$339,3,FALSE),0)</f>
        <v>0</v>
      </c>
      <c r="M148" s="56" t="str">
        <f>IFERROR(VLOOKUP($C148,Таблица!$B$205:$F$339,5,FALSE),"")</f>
        <v/>
      </c>
      <c r="N148" s="56" t="str">
        <f>IFERROR(VLOOKUP($C148,Таблица!$B$205:$E$339,4,FALSE),"")</f>
        <v/>
      </c>
      <c r="O148" s="56">
        <f t="shared" si="69"/>
        <v>1</v>
      </c>
      <c r="P148" s="51"/>
      <c r="Q148" s="11" t="str">
        <f>IF(OR(AND(ISERROR(VLOOKUP($C148,Таблица!$B$205:$E$339,2,FALSE)),$C148&lt;&gt;""),P148&lt;&gt;""),"V","")</f>
        <v/>
      </c>
      <c r="R148" s="249">
        <f t="shared" si="65"/>
        <v>0</v>
      </c>
      <c r="S148" s="62">
        <f>ROUND(IFERROR(VLOOKUP($C148,Таблица!$B$205:$K$339,6,FALSE),82.5)/100*$AC148,2)</f>
        <v>0</v>
      </c>
      <c r="T148" s="62">
        <f>ROUND(IFERROR(VLOOKUP($C148,Таблица!$B$205:$K$339,7,FALSE),0)/100*$AC148,2)</f>
        <v>0</v>
      </c>
      <c r="U148" s="84">
        <f>ROUND(IFERROR(VLOOKUP($C148,Таблица!$B$205:$K$339,8,FALSE),0.5)/100*$AC148,2)</f>
        <v>0</v>
      </c>
      <c r="V148" s="84">
        <f>ROUND(IFERROR(VLOOKUP($C148,Таблица!$B$205:$K$339,9,FALSE),7)/100*$AC148,2)</f>
        <v>0</v>
      </c>
      <c r="W148" s="84">
        <f>ROUND(IFERROR(VLOOKUP($C148,Таблица!$B$205:$K$339,10,FALSE),10)/100*$AC148,2)</f>
        <v>0</v>
      </c>
      <c r="X148" s="88">
        <f>IF($R148="",0,ROUND($R148*IF($M148&gt;=110,Таблица!$P$44,Таблица!$P$36)*(1+$K$159),2))</f>
        <v>0</v>
      </c>
      <c r="Y148" s="88">
        <f>IF($R148="",0,ROUND($R148*IF($M148&gt;=110,Таблица!$P$45,Таблица!$P$37)*IF($M$12,0.8,1)*(1+$K$159),2))</f>
        <v>0</v>
      </c>
      <c r="Z148" s="88">
        <f>IF($R148="",0,ROUND($R148*IF($M148&gt;=110,Таблица!$P$46,Таблица!$P$38)*(1+$K$159),2))</f>
        <v>0</v>
      </c>
      <c r="AA148" s="88">
        <f>IF($R148="",0,ROUND($R148*IF($M148&gt;=110,Таблица!$P$47,Таблица!$P$39)*(1+$K$159),2))</f>
        <v>0</v>
      </c>
      <c r="AB148" s="88">
        <f>IF($R148="",0,ROUND($R148*IF($M148&gt;=110,Таблица!$P$48,Таблица!$P$40)*(1+$K$159),2))</f>
        <v>0</v>
      </c>
      <c r="AC148" s="139">
        <f t="shared" si="70"/>
        <v>0</v>
      </c>
      <c r="AD148" s="205">
        <f>IFERROR(VLOOKUP($C148,Таблица!$B$205:$L$339,11,FALSE),0)</f>
        <v>0</v>
      </c>
      <c r="AE148" s="85"/>
      <c r="AF148" s="85"/>
    </row>
    <row r="149" spans="1:32" x14ac:dyDescent="0.2">
      <c r="A149" s="134" t="str">
        <f>IF(C149="","",MAX(A$135:A140)+1)</f>
        <v/>
      </c>
      <c r="B149" s="1" t="str">
        <f>IFERROR(VLOOKUP($C149,Таблица!$B$205:$E$339,2,FALSE),"")</f>
        <v/>
      </c>
      <c r="C149" s="31"/>
      <c r="D149" s="31"/>
      <c r="E149" s="32"/>
      <c r="F149" s="32"/>
      <c r="G149" s="1"/>
      <c r="H149" s="1"/>
      <c r="I149" s="1" t="str">
        <f t="shared" si="63"/>
        <v/>
      </c>
      <c r="J149" s="1" t="str">
        <f t="shared" si="62"/>
        <v/>
      </c>
      <c r="K149" s="42"/>
      <c r="L149" s="1">
        <f>IFERROR(VLOOKUP($C149,Таблица!$B$205:$K$339,3,FALSE),0)</f>
        <v>0</v>
      </c>
      <c r="M149" s="1" t="str">
        <f>IFERROR(VLOOKUP($C149,Таблица!$B$205:$F$339,5,FALSE),"")</f>
        <v/>
      </c>
      <c r="N149" s="1" t="str">
        <f>IFERROR(VLOOKUP($C149,Таблица!$B$205:$E$339,4,FALSE),"")</f>
        <v/>
      </c>
      <c r="O149" s="1">
        <f t="shared" si="67"/>
        <v>1</v>
      </c>
      <c r="P149" s="42"/>
      <c r="Q149" s="11" t="str">
        <f>IF(OR(AND(ISERROR(VLOOKUP($C149,Таблица!$B$205:$E$339,2,FALSE)),$C149&lt;&gt;""),P149&lt;&gt;""),"V","")</f>
        <v/>
      </c>
      <c r="R149" s="249">
        <f t="shared" si="65"/>
        <v>0</v>
      </c>
      <c r="S149" s="62">
        <f>ROUND(IFERROR(VLOOKUP($C149,Таблица!$B$205:$K$339,6,FALSE),82.5)/100*$AC149,2)</f>
        <v>0</v>
      </c>
      <c r="T149" s="62">
        <f>ROUND(IFERROR(VLOOKUP($C149,Таблица!$B$205:$K$339,7,FALSE),0)/100*$AC149,2)</f>
        <v>0</v>
      </c>
      <c r="U149" s="84">
        <f>ROUND(IFERROR(VLOOKUP($C149,Таблица!$B$205:$K$339,8,FALSE),0.5)/100*$AC149,2)</f>
        <v>0</v>
      </c>
      <c r="V149" s="84">
        <f>ROUND(IFERROR(VLOOKUP($C149,Таблица!$B$205:$K$339,9,FALSE),7)/100*$AC149,2)</f>
        <v>0</v>
      </c>
      <c r="W149" s="84">
        <f>ROUND(IFERROR(VLOOKUP($C149,Таблица!$B$205:$K$339,10,FALSE),10)/100*$AC149,2)</f>
        <v>0</v>
      </c>
      <c r="X149" s="88">
        <f>IF($R149="",0,ROUND($R149*IF($M149&gt;=110,Таблица!$P$44,Таблица!$P$36)*(1+$K$159),2))</f>
        <v>0</v>
      </c>
      <c r="Y149" s="88">
        <f>IF($R149="",0,ROUND($R149*IF($M149&gt;=110,Таблица!$P$45,Таблица!$P$37)*IF($M$12,0.8,1)*(1+$K$159),2))</f>
        <v>0</v>
      </c>
      <c r="Z149" s="88">
        <f>IF($R149="",0,ROUND($R149*IF($M149&gt;=110,Таблица!$P$46,Таблица!$P$38)*(1+$K$159),2))</f>
        <v>0</v>
      </c>
      <c r="AA149" s="88">
        <f>IF($R149="",0,ROUND($R149*IF($M149&gt;=110,Таблица!$P$47,Таблица!$P$39)*(1+$K$159),2))</f>
        <v>0</v>
      </c>
      <c r="AB149" s="88">
        <f>IF($R149="",0,ROUND($R149*IF($M149&gt;=110,Таблица!$P$48,Таблица!$P$40)*(1+$K$159),2))</f>
        <v>0</v>
      </c>
      <c r="AC149" s="139">
        <f t="shared" si="66"/>
        <v>0</v>
      </c>
      <c r="AD149" s="205">
        <f>IFERROR(VLOOKUP($C149,Таблица!$B$205:$L$339,11,FALSE),0)</f>
        <v>0</v>
      </c>
      <c r="AE149" s="85"/>
      <c r="AF149" s="85"/>
    </row>
    <row r="150" spans="1:32" x14ac:dyDescent="0.2">
      <c r="A150" s="134" t="str">
        <f>IF(C150="","",MAX(A$135:A149)+1)</f>
        <v/>
      </c>
      <c r="B150" s="1" t="str">
        <f>IFERROR(VLOOKUP($C150,Таблица!$B$205:$E$339,2,FALSE),"")</f>
        <v/>
      </c>
      <c r="C150" s="31"/>
      <c r="D150" s="31"/>
      <c r="E150" s="32"/>
      <c r="F150" s="32"/>
      <c r="G150" s="1"/>
      <c r="H150" s="1"/>
      <c r="I150" s="1" t="str">
        <f t="shared" si="63"/>
        <v/>
      </c>
      <c r="J150" s="1" t="str">
        <f t="shared" si="62"/>
        <v/>
      </c>
      <c r="K150" s="42"/>
      <c r="L150" s="1">
        <f>IFERROR(VLOOKUP($C150,Таблица!$B$205:$K$339,3,FALSE),0)</f>
        <v>0</v>
      </c>
      <c r="M150" s="1" t="str">
        <f>IFERROR(VLOOKUP($C150,Таблица!$B$205:$F$339,5,FALSE),"")</f>
        <v/>
      </c>
      <c r="N150" s="1" t="str">
        <f>IFERROR(VLOOKUP($C150,Таблица!$B$205:$E$339,4,FALSE),"")</f>
        <v/>
      </c>
      <c r="O150" s="1">
        <f t="shared" si="67"/>
        <v>1</v>
      </c>
      <c r="P150" s="42"/>
      <c r="Q150" s="11" t="str">
        <f>IF(OR(AND(ISERROR(VLOOKUP($C150,Таблица!$B$205:$E$339,2,FALSE)),$C150&lt;&gt;""),P150&lt;&gt;""),"V","")</f>
        <v/>
      </c>
      <c r="R150" s="249">
        <f t="shared" si="65"/>
        <v>0</v>
      </c>
      <c r="S150" s="62">
        <f>ROUND(IFERROR(VLOOKUP($C150,Таблица!$B$205:$K$339,6,FALSE),82.5)/100*$AC150,2)</f>
        <v>0</v>
      </c>
      <c r="T150" s="62">
        <f>ROUND(IFERROR(VLOOKUP($C150,Таблица!$B$205:$K$339,7,FALSE),0)/100*$AC150,2)</f>
        <v>0</v>
      </c>
      <c r="U150" s="84">
        <f>ROUND(IFERROR(VLOOKUP($C150,Таблица!$B$205:$K$339,8,FALSE),0.5)/100*$AC150,2)</f>
        <v>0</v>
      </c>
      <c r="V150" s="84">
        <f>ROUND(IFERROR(VLOOKUP($C150,Таблица!$B$205:$K$339,9,FALSE),7)/100*$AC150,2)</f>
        <v>0</v>
      </c>
      <c r="W150" s="84">
        <f>ROUND(IFERROR(VLOOKUP($C150,Таблица!$B$205:$K$339,10,FALSE),10)/100*$AC150,2)</f>
        <v>0</v>
      </c>
      <c r="X150" s="88">
        <f>IF($R150="",0,ROUND($R150*IF($M150&gt;=110,Таблица!$P$44,Таблица!$P$36)*(1+$K$159),2))</f>
        <v>0</v>
      </c>
      <c r="Y150" s="88">
        <f>IF($R150="",0,ROUND($R150*IF($M150&gt;=110,Таблица!$P$45,Таблица!$P$37)*IF($M$12,0.8,1)*(1+$K$159),2))</f>
        <v>0</v>
      </c>
      <c r="Z150" s="88">
        <f>IF($R150="",0,ROUND($R150*IF($M150&gt;=110,Таблица!$P$46,Таблица!$P$38)*(1+$K$159),2))</f>
        <v>0</v>
      </c>
      <c r="AA150" s="88">
        <f>IF($R150="",0,ROUND($R150*IF($M150&gt;=110,Таблица!$P$47,Таблица!$P$39)*(1+$K$159),2))</f>
        <v>0</v>
      </c>
      <c r="AB150" s="88">
        <f>IF($R150="",0,ROUND($R150*IF($M150&gt;=110,Таблица!$P$48,Таблица!$P$40)*(1+$K$159),2))</f>
        <v>0</v>
      </c>
      <c r="AC150" s="139">
        <f t="shared" si="66"/>
        <v>0</v>
      </c>
      <c r="AD150" s="205">
        <f>IFERROR(VLOOKUP($C150,Таблица!$B$205:$L$339,11,FALSE),0)</f>
        <v>0</v>
      </c>
      <c r="AE150" s="85"/>
      <c r="AF150" s="85"/>
    </row>
    <row r="151" spans="1:32" x14ac:dyDescent="0.2">
      <c r="A151" s="134" t="str">
        <f>IF(C151="","",MAX(A$135:A150)+1)</f>
        <v/>
      </c>
      <c r="B151" s="1" t="str">
        <f>IFERROR(VLOOKUP($C151,Таблица!$B$205:$E$339,2,FALSE),"")</f>
        <v/>
      </c>
      <c r="C151" s="31"/>
      <c r="D151" s="31"/>
      <c r="E151" s="32"/>
      <c r="F151" s="32"/>
      <c r="G151" s="1"/>
      <c r="H151" s="1"/>
      <c r="I151" s="1" t="str">
        <f t="shared" si="63"/>
        <v/>
      </c>
      <c r="J151" s="1" t="str">
        <f t="shared" si="62"/>
        <v/>
      </c>
      <c r="K151" s="42"/>
      <c r="L151" s="1">
        <f>IFERROR(VLOOKUP($C151,Таблица!$B$205:$K$339,3,FALSE),0)</f>
        <v>0</v>
      </c>
      <c r="M151" s="1" t="str">
        <f>IFERROR(VLOOKUP($C151,Таблица!$B$205:$F$339,5,FALSE),"")</f>
        <v/>
      </c>
      <c r="N151" s="1" t="str">
        <f>IFERROR(VLOOKUP($C151,Таблица!$B$205:$E$339,4,FALSE),"")</f>
        <v/>
      </c>
      <c r="O151" s="1">
        <f t="shared" si="67"/>
        <v>1</v>
      </c>
      <c r="P151" s="42"/>
      <c r="Q151" s="11" t="str">
        <f>IF(OR(AND(ISERROR(VLOOKUP($C151,Таблица!$B$205:$E$339,2,FALSE)),$C151&lt;&gt;""),P151&lt;&gt;""),"V","")</f>
        <v/>
      </c>
      <c r="R151" s="249">
        <f t="shared" si="65"/>
        <v>0</v>
      </c>
      <c r="S151" s="62">
        <f>ROUND(IFERROR(VLOOKUP($C151,Таблица!$B$205:$K$339,6,FALSE),82.5)/100*$AC151,2)</f>
        <v>0</v>
      </c>
      <c r="T151" s="62">
        <f>ROUND(IFERROR(VLOOKUP($C151,Таблица!$B$205:$K$339,7,FALSE),0)/100*$AC151,2)</f>
        <v>0</v>
      </c>
      <c r="U151" s="84">
        <f>ROUND(IFERROR(VLOOKUP($C151,Таблица!$B$205:$K$339,8,FALSE),0.5)/100*$AC151,2)</f>
        <v>0</v>
      </c>
      <c r="V151" s="84">
        <f>ROUND(IFERROR(VLOOKUP($C151,Таблица!$B$205:$K$339,9,FALSE),7)/100*$AC151,2)</f>
        <v>0</v>
      </c>
      <c r="W151" s="84">
        <f>ROUND(IFERROR(VLOOKUP($C151,Таблица!$B$205:$K$339,10,FALSE),10)/100*$AC151,2)</f>
        <v>0</v>
      </c>
      <c r="X151" s="88">
        <f>IF($R151="",0,ROUND($R151*IF($M151&gt;=110,Таблица!$P$44,Таблица!$P$36)*(1+$K$159),2))</f>
        <v>0</v>
      </c>
      <c r="Y151" s="88">
        <f>IF($R151="",0,ROUND($R151*IF($M151&gt;=110,Таблица!$P$45,Таблица!$P$37)*IF($M$12,0.8,1)*(1+$K$159),2))</f>
        <v>0</v>
      </c>
      <c r="Z151" s="88">
        <f>IF($R151="",0,ROUND($R151*IF($M151&gt;=110,Таблица!$P$46,Таблица!$P$38)*(1+$K$159),2))</f>
        <v>0</v>
      </c>
      <c r="AA151" s="88">
        <f>IF($R151="",0,ROUND($R151*IF($M151&gt;=110,Таблица!$P$47,Таблица!$P$39)*(1+$K$159),2))</f>
        <v>0</v>
      </c>
      <c r="AB151" s="88">
        <f>IF($R151="",0,ROUND($R151*IF($M151&gt;=110,Таблица!$P$48,Таблица!$P$40)*(1+$K$159),2))</f>
        <v>0</v>
      </c>
      <c r="AC151" s="139">
        <f t="shared" si="66"/>
        <v>0</v>
      </c>
      <c r="AD151" s="205">
        <f>IFERROR(VLOOKUP($C151,Таблица!$B$205:$L$339,11,FALSE),0)</f>
        <v>0</v>
      </c>
      <c r="AE151" s="85"/>
      <c r="AF151" s="85"/>
    </row>
    <row r="152" spans="1:32" x14ac:dyDescent="0.2">
      <c r="A152" s="134" t="str">
        <f>IF(C152="","",MAX(A$135:A151)+1)</f>
        <v/>
      </c>
      <c r="B152" s="1" t="str">
        <f>IFERROR(VLOOKUP($C152,Таблица!$B$205:$E$339,2,FALSE),"")</f>
        <v/>
      </c>
      <c r="C152" s="31"/>
      <c r="D152" s="31"/>
      <c r="E152" s="32"/>
      <c r="F152" s="32"/>
      <c r="G152" s="1"/>
      <c r="H152" s="1"/>
      <c r="I152" s="1" t="str">
        <f t="shared" si="63"/>
        <v/>
      </c>
      <c r="J152" s="1" t="str">
        <f t="shared" si="62"/>
        <v/>
      </c>
      <c r="K152" s="42"/>
      <c r="L152" s="1">
        <f>IFERROR(VLOOKUP($C152,Таблица!$B$205:$K$339,3,FALSE),0)</f>
        <v>0</v>
      </c>
      <c r="M152" s="1" t="str">
        <f>IFERROR(VLOOKUP($C152,Таблица!$B$205:$F$339,5,FALSE),"")</f>
        <v/>
      </c>
      <c r="N152" s="1" t="str">
        <f>IFERROR(VLOOKUP($C152,Таблица!$B$205:$E$339,4,FALSE),"")</f>
        <v/>
      </c>
      <c r="O152" s="1">
        <f t="shared" ref="O152" si="71">IF(E152="",1,E152)*IF(F152="",1,F152)*IF(G152="",1,G152)*IF(H152="",1,H152)*IF(I152="",1,I152)</f>
        <v>1</v>
      </c>
      <c r="P152" s="42"/>
      <c r="Q152" s="11" t="str">
        <f>IF(OR(AND(ISERROR(VLOOKUP($C152,Таблица!$B$205:$E$339,2,FALSE)),$C152&lt;&gt;""),P152&lt;&gt;""),"V","")</f>
        <v/>
      </c>
      <c r="R152" s="249">
        <f t="shared" si="65"/>
        <v>0</v>
      </c>
      <c r="S152" s="62">
        <f>ROUND(IFERROR(VLOOKUP($C152,Таблица!$B$205:$K$339,6,FALSE),82.5)/100*$AC152,2)</f>
        <v>0</v>
      </c>
      <c r="T152" s="62">
        <f>ROUND(IFERROR(VLOOKUP($C152,Таблица!$B$205:$K$339,7,FALSE),0)/100*$AC152,2)</f>
        <v>0</v>
      </c>
      <c r="U152" s="84">
        <f>ROUND(IFERROR(VLOOKUP($C152,Таблица!$B$205:$K$339,8,FALSE),0.5)/100*$AC152,2)</f>
        <v>0</v>
      </c>
      <c r="V152" s="84">
        <f>ROUND(IFERROR(VLOOKUP($C152,Таблица!$B$205:$K$339,9,FALSE),7)/100*$AC152,2)</f>
        <v>0</v>
      </c>
      <c r="W152" s="84">
        <f>ROUND(IFERROR(VLOOKUP($C152,Таблица!$B$205:$K$339,10,FALSE),10)/100*$AC152,2)</f>
        <v>0</v>
      </c>
      <c r="X152" s="88">
        <f>IF($R152="",0,ROUND($R152*IF($M152&gt;=110,Таблица!$P$44,Таблица!$P$36)*(1+$K$159),2))</f>
        <v>0</v>
      </c>
      <c r="Y152" s="88">
        <f>IF($R152="",0,ROUND($R152*IF($M152&gt;=110,Таблица!$P$45,Таблица!$P$37)*IF($M$12,0.8,1)*(1+$K$159),2))</f>
        <v>0</v>
      </c>
      <c r="Z152" s="88">
        <f>IF($R152="",0,ROUND($R152*IF($M152&gt;=110,Таблица!$P$46,Таблица!$P$38)*(1+$K$159),2))</f>
        <v>0</v>
      </c>
      <c r="AA152" s="88">
        <f>IF($R152="",0,ROUND($R152*IF($M152&gt;=110,Таблица!$P$47,Таблица!$P$39)*(1+$K$159),2))</f>
        <v>0</v>
      </c>
      <c r="AB152" s="88">
        <f>IF($R152="",0,ROUND($R152*IF($M152&gt;=110,Таблица!$P$48,Таблица!$P$40)*(1+$K$159),2))</f>
        <v>0</v>
      </c>
      <c r="AC152" s="139">
        <f t="shared" si="66"/>
        <v>0</v>
      </c>
      <c r="AD152" s="205">
        <f>IFERROR(VLOOKUP($C152,Таблица!$B$205:$L$339,11,FALSE),0)</f>
        <v>0</v>
      </c>
      <c r="AE152" s="85"/>
      <c r="AF152" s="85"/>
    </row>
    <row r="153" spans="1:32" x14ac:dyDescent="0.2">
      <c r="A153" s="134"/>
      <c r="B153" s="1"/>
      <c r="C153" s="15" t="s">
        <v>656</v>
      </c>
      <c r="D153" s="15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249">
        <v>0</v>
      </c>
      <c r="S153" s="85"/>
      <c r="T153" s="85"/>
      <c r="U153" s="86"/>
      <c r="V153" s="86"/>
      <c r="W153" s="86"/>
      <c r="AC153" s="89"/>
      <c r="AD153" s="236">
        <f>IF(SUM(AC138:AC152),SUMIF(AD138:AD152,"=1",AC138:AC152)/SUM(AC138:AC152),1)</f>
        <v>1</v>
      </c>
      <c r="AE153" s="85"/>
      <c r="AF153" s="85"/>
    </row>
    <row r="154" spans="1:32" x14ac:dyDescent="0.2">
      <c r="A154" s="134" t="str">
        <f>IF(C154="","",MAX(A$135:A153)+1)</f>
        <v/>
      </c>
      <c r="B154" s="1" t="str">
        <f>IFERROR(VLOOKUP($C154,Таблица!$B$344:$E$351,2,FALSE),"")</f>
        <v/>
      </c>
      <c r="C154" s="31"/>
      <c r="D154" s="31"/>
      <c r="E154" s="32"/>
      <c r="F154" s="32"/>
      <c r="G154" s="1"/>
      <c r="H154" s="1"/>
      <c r="I154" s="1"/>
      <c r="J154" s="1" t="str">
        <f>IF($C154="","","100 м")</f>
        <v/>
      </c>
      <c r="K154" s="42"/>
      <c r="L154" s="1">
        <f>IFERROR(VLOOKUP($C154,Таблица!$B$344:$K$351,3,FALSE),0)</f>
        <v>0</v>
      </c>
      <c r="M154" s="25" t="str">
        <f>IFERROR(VLOOKUP($C154,Таблица!$B$344:$F$351,5,FALSE),"")</f>
        <v/>
      </c>
      <c r="N154" s="1" t="str">
        <f>IFERROR(VLOOKUP($C154,Таблица!$B$344:$E$351,4,FALSE),"")</f>
        <v/>
      </c>
      <c r="O154" s="1">
        <f t="shared" ref="O154:O158" si="72">IF(E154="",1,E154)*IF(F154="",1,F154)*IF(G154="",1,G154)*IF(H154="",1,H154)*IF(I154="",1,I154)</f>
        <v>1</v>
      </c>
      <c r="P154" s="42"/>
      <c r="Q154" s="1" t="str">
        <f>IF(OR(AND(ISERROR(VLOOKUP($C154,Таблица!$B$344:$E$351,2,FALSE)),$C154&lt;&gt;""),P154&lt;&gt;""),"√","")</f>
        <v/>
      </c>
      <c r="R154" s="249">
        <f>IFERROR(ROUND(K154*IF(P154="",N154*O154,P154*O154),2),0)</f>
        <v>0</v>
      </c>
      <c r="S154" s="62">
        <f>ROUND(IFERROR(VLOOKUP($C154,Таблица!$B$344:$K$351,6,FALSE),82.5)/100*$AC154,2)</f>
        <v>0</v>
      </c>
      <c r="T154" s="62">
        <f>ROUND(IFERROR(VLOOKUP($C154,Таблица!$B$344:$K$351,7,FALSE),0)/100*$AC154,2)</f>
        <v>0</v>
      </c>
      <c r="U154" s="84">
        <f>ROUND(IFERROR(VLOOKUP($C154,Таблица!$B$344:$K$351,8,FALSE),0.5)/100*$AC154,2)</f>
        <v>0</v>
      </c>
      <c r="V154" s="84">
        <f>ROUND(IFERROR(VLOOKUP($C154,Таблица!$B$344:$K$351,9,FALSE),7)/100*$AC154,2)</f>
        <v>0</v>
      </c>
      <c r="W154" s="84">
        <f>ROUND(IFERROR(VLOOKUP($C154,Таблица!$B$344:$K$351,10,FALSE),10)/100*$AC154,2)</f>
        <v>0</v>
      </c>
      <c r="X154" s="88">
        <f>IF($R154="",0,ROUND($R154*IF($M154&gt;=110,Таблица!$P$44,Таблица!$P$36)*(1+$K$159),2))</f>
        <v>0</v>
      </c>
      <c r="Y154" s="88">
        <f>IF($R154="",0,ROUND($R154*IF($M154&gt;=110,Таблица!$P$45,Таблица!$P$37)*IF($M$12,0.8,1)*(1+$K$159),2))</f>
        <v>0</v>
      </c>
      <c r="Z154" s="88">
        <f>IF($R154="",0,ROUND($R154*IF($M154&gt;=110,Таблица!$P$46,Таблица!$P$38)*(1+$K$159),2))</f>
        <v>0</v>
      </c>
      <c r="AA154" s="88">
        <f>IF($R154="",0,ROUND($R154*IF($M154&gt;=110,Таблица!$P$47,Таблица!$P$39)*(1+$K$159),2))</f>
        <v>0</v>
      </c>
      <c r="AB154" s="88">
        <f>IF($R154="",0,ROUND($R154*IF($M154&gt;=110,Таблица!$P$48,Таблица!$P$40)*(1+$K$159),2))</f>
        <v>0</v>
      </c>
      <c r="AC154" s="139">
        <f t="shared" si="66"/>
        <v>0</v>
      </c>
      <c r="AD154" s="143"/>
      <c r="AE154" s="85"/>
      <c r="AF154" s="85"/>
    </row>
    <row r="155" spans="1:32" s="60" customFormat="1" x14ac:dyDescent="0.2">
      <c r="A155" s="134" t="str">
        <f>IF(C155="","",MAX(A$135:A154)+1)</f>
        <v/>
      </c>
      <c r="B155" s="56" t="str">
        <f>IFERROR(VLOOKUP($C155,Таблица!$B$344:$E$351,2,FALSE),"")</f>
        <v/>
      </c>
      <c r="C155" s="48"/>
      <c r="D155" s="48"/>
      <c r="E155" s="50"/>
      <c r="F155" s="50"/>
      <c r="G155" s="56"/>
      <c r="H155" s="56"/>
      <c r="I155" s="56"/>
      <c r="J155" s="56" t="str">
        <f t="shared" ref="J155:J157" si="73">IF($C155="","","100 м")</f>
        <v/>
      </c>
      <c r="K155" s="51"/>
      <c r="L155" s="56">
        <f>IFERROR(VLOOKUP($C155,Таблица!$B$344:$K$351,3,FALSE),0)</f>
        <v>0</v>
      </c>
      <c r="M155" s="56" t="str">
        <f>IFERROR(VLOOKUP($C155,Таблица!$B$344:$F$351,5,FALSE),"")</f>
        <v/>
      </c>
      <c r="N155" s="56" t="str">
        <f>IFERROR(VLOOKUP($C155,Таблица!$B$344:$E$351,4,FALSE),"")</f>
        <v/>
      </c>
      <c r="O155" s="56">
        <f t="shared" ref="O155:O157" si="74">IF(E155="",1,E155)*IF(F155="",1,F155)*IF(G155="",1,G155)*IF(H155="",1,H155)*IF(I155="",1,I155)</f>
        <v>1</v>
      </c>
      <c r="P155" s="51"/>
      <c r="Q155" s="56" t="str">
        <f>IF(OR(AND(ISERROR(VLOOKUP($C155,Таблица!$B$344:$E$351,2,FALSE)),$C155&lt;&gt;""),P155&lt;&gt;""),"√","")</f>
        <v/>
      </c>
      <c r="R155" s="249">
        <f t="shared" ref="R155:R158" si="75">IFERROR(ROUND(K155*IF(P155="",N155*O155,P155*O155),2),0)</f>
        <v>0</v>
      </c>
      <c r="S155" s="62">
        <f>ROUND(IFERROR(VLOOKUP($C155,Таблица!$B$344:$K$351,6,FALSE),82.5)/100*$AC155,2)</f>
        <v>0</v>
      </c>
      <c r="T155" s="62">
        <f>ROUND(IFERROR(VLOOKUP($C155,Таблица!$B$344:$K$351,7,FALSE),0)/100*$AC155,2)</f>
        <v>0</v>
      </c>
      <c r="U155" s="84">
        <f>ROUND(IFERROR(VLOOKUP($C155,Таблица!$B$344:$K$351,8,FALSE),0.5)/100*$AC155,2)</f>
        <v>0</v>
      </c>
      <c r="V155" s="84">
        <f>ROUND(IFERROR(VLOOKUP($C155,Таблица!$B$344:$K$351,9,FALSE),7)/100*$AC155,2)</f>
        <v>0</v>
      </c>
      <c r="W155" s="84">
        <f>ROUND(IFERROR(VLOOKUP($C155,Таблица!$B$344:$K$351,10,FALSE),10)/100*$AC155,2)</f>
        <v>0</v>
      </c>
      <c r="X155" s="88">
        <f>IF($R155="",0,ROUND($R155*IF($M155&gt;=110,Таблица!$P$44,Таблица!$P$36)*(1+$K$159),2))</f>
        <v>0</v>
      </c>
      <c r="Y155" s="88">
        <f>IF($R155="",0,ROUND($R155*IF($M155&gt;=110,Таблица!$P$45,Таблица!$P$37)*IF($M$12,0.8,1)*(1+$K$159),2))</f>
        <v>0</v>
      </c>
      <c r="Z155" s="88">
        <f>IF($R155="",0,ROUND($R155*IF($M155&gt;=110,Таблица!$P$46,Таблица!$P$38)*(1+$K$159),2))</f>
        <v>0</v>
      </c>
      <c r="AA155" s="88">
        <f>IF($R155="",0,ROUND($R155*IF($M155&gt;=110,Таблица!$P$47,Таблица!$P$39)*(1+$K$159),2))</f>
        <v>0</v>
      </c>
      <c r="AB155" s="88">
        <f>IF($R155="",0,ROUND($R155*IF($M155&gt;=110,Таблица!$P$48,Таблица!$P$40)*(1+$K$159),2))</f>
        <v>0</v>
      </c>
      <c r="AC155" s="139">
        <f t="shared" ref="AC155:AC157" si="76">IFERROR(ROUND(R155*(1+$K$159),2)+SUM(X155:AB155),0)</f>
        <v>0</v>
      </c>
      <c r="AD155" s="89"/>
      <c r="AE155" s="85"/>
      <c r="AF155" s="85"/>
    </row>
    <row r="156" spans="1:32" s="60" customFormat="1" x14ac:dyDescent="0.2">
      <c r="A156" s="134" t="str">
        <f>IF(C156="","",MAX(A$135:A155)+1)</f>
        <v/>
      </c>
      <c r="B156" s="56" t="str">
        <f>IFERROR(VLOOKUP($C156,Таблица!$B$344:$E$351,2,FALSE),"")</f>
        <v/>
      </c>
      <c r="C156" s="48"/>
      <c r="D156" s="48"/>
      <c r="E156" s="50"/>
      <c r="F156" s="50"/>
      <c r="G156" s="56"/>
      <c r="H156" s="56"/>
      <c r="I156" s="56"/>
      <c r="J156" s="56" t="str">
        <f t="shared" si="73"/>
        <v/>
      </c>
      <c r="K156" s="51"/>
      <c r="L156" s="56">
        <f>IFERROR(VLOOKUP($C156,Таблица!$B$344:$K$351,3,FALSE),0)</f>
        <v>0</v>
      </c>
      <c r="M156" s="56" t="str">
        <f>IFERROR(VLOOKUP($C156,Таблица!$B$344:$F$351,5,FALSE),"")</f>
        <v/>
      </c>
      <c r="N156" s="56" t="str">
        <f>IFERROR(VLOOKUP($C156,Таблица!$B$344:$E$351,4,FALSE),"")</f>
        <v/>
      </c>
      <c r="O156" s="56">
        <f t="shared" si="74"/>
        <v>1</v>
      </c>
      <c r="P156" s="51"/>
      <c r="Q156" s="56" t="str">
        <f>IF(OR(AND(ISERROR(VLOOKUP($C156,Таблица!$B$344:$E$351,2,FALSE)),$C156&lt;&gt;""),P156&lt;&gt;""),"√","")</f>
        <v/>
      </c>
      <c r="R156" s="249">
        <f t="shared" si="75"/>
        <v>0</v>
      </c>
      <c r="S156" s="62">
        <f>ROUND(IFERROR(VLOOKUP($C156,Таблица!$B$344:$K$351,6,FALSE),82.5)/100*$AC156,2)</f>
        <v>0</v>
      </c>
      <c r="T156" s="62">
        <f>ROUND(IFERROR(VLOOKUP($C156,Таблица!$B$344:$K$351,7,FALSE),0)/100*$AC156,2)</f>
        <v>0</v>
      </c>
      <c r="U156" s="84">
        <f>ROUND(IFERROR(VLOOKUP($C156,Таблица!$B$344:$K$351,8,FALSE),0.5)/100*$AC156,2)</f>
        <v>0</v>
      </c>
      <c r="V156" s="84">
        <f>ROUND(IFERROR(VLOOKUP($C156,Таблица!$B$344:$K$351,9,FALSE),7)/100*$AC156,2)</f>
        <v>0</v>
      </c>
      <c r="W156" s="84">
        <f>ROUND(IFERROR(VLOOKUP($C156,Таблица!$B$344:$K$351,10,FALSE),10)/100*$AC156,2)</f>
        <v>0</v>
      </c>
      <c r="X156" s="88">
        <f>IF($R156="",0,ROUND($R156*IF($M156&gt;=110,Таблица!$P$44,Таблица!$P$36)*(1+$K$159),2))</f>
        <v>0</v>
      </c>
      <c r="Y156" s="88">
        <f>IF($R156="",0,ROUND($R156*IF($M156&gt;=110,Таблица!$P$45,Таблица!$P$37)*IF($M$12,0.8,1)*(1+$K$159),2))</f>
        <v>0</v>
      </c>
      <c r="Z156" s="88">
        <f>IF($R156="",0,ROUND($R156*IF($M156&gt;=110,Таблица!$P$46,Таблица!$P$38)*(1+$K$159),2))</f>
        <v>0</v>
      </c>
      <c r="AA156" s="88">
        <f>IF($R156="",0,ROUND($R156*IF($M156&gt;=110,Таблица!$P$47,Таблица!$P$39)*(1+$K$159),2))</f>
        <v>0</v>
      </c>
      <c r="AB156" s="88">
        <f>IF($R156="",0,ROUND($R156*IF($M156&gt;=110,Таблица!$P$48,Таблица!$P$40)*(1+$K$159),2))</f>
        <v>0</v>
      </c>
      <c r="AC156" s="139">
        <f t="shared" si="76"/>
        <v>0</v>
      </c>
      <c r="AD156" s="89"/>
      <c r="AE156" s="85"/>
      <c r="AF156" s="85"/>
    </row>
    <row r="157" spans="1:32" s="60" customFormat="1" x14ac:dyDescent="0.2">
      <c r="A157" s="134" t="str">
        <f>IF(C157="","",MAX(A$135:A156)+1)</f>
        <v/>
      </c>
      <c r="B157" s="56" t="str">
        <f>IFERROR(VLOOKUP($C157,Таблица!$B$344:$E$351,2,FALSE),"")</f>
        <v/>
      </c>
      <c r="C157" s="48"/>
      <c r="D157" s="48"/>
      <c r="E157" s="50"/>
      <c r="F157" s="50"/>
      <c r="G157" s="56"/>
      <c r="H157" s="56"/>
      <c r="I157" s="56"/>
      <c r="J157" s="56" t="str">
        <f t="shared" si="73"/>
        <v/>
      </c>
      <c r="K157" s="51"/>
      <c r="L157" s="56">
        <f>IFERROR(VLOOKUP($C157,Таблица!$B$344:$K$351,3,FALSE),0)</f>
        <v>0</v>
      </c>
      <c r="M157" s="56" t="str">
        <f>IFERROR(VLOOKUP($C157,Таблица!$B$344:$F$351,5,FALSE),"")</f>
        <v/>
      </c>
      <c r="N157" s="56" t="str">
        <f>IFERROR(VLOOKUP($C157,Таблица!$B$344:$E$351,4,FALSE),"")</f>
        <v/>
      </c>
      <c r="O157" s="56">
        <f t="shared" si="74"/>
        <v>1</v>
      </c>
      <c r="P157" s="51"/>
      <c r="Q157" s="56" t="str">
        <f>IF(OR(AND(ISERROR(VLOOKUP($C157,Таблица!$B$344:$E$351,2,FALSE)),$C157&lt;&gt;""),P157&lt;&gt;""),"√","")</f>
        <v/>
      </c>
      <c r="R157" s="249">
        <f t="shared" si="75"/>
        <v>0</v>
      </c>
      <c r="S157" s="62">
        <f>ROUND(IFERROR(VLOOKUP($C157,Таблица!$B$344:$K$351,6,FALSE),82.5)/100*$AC157,2)</f>
        <v>0</v>
      </c>
      <c r="T157" s="62">
        <f>ROUND(IFERROR(VLOOKUP($C157,Таблица!$B$344:$K$351,7,FALSE),0)/100*$AC157,2)</f>
        <v>0</v>
      </c>
      <c r="U157" s="84">
        <f>ROUND(IFERROR(VLOOKUP($C157,Таблица!$B$344:$K$351,8,FALSE),0.5)/100*$AC157,2)</f>
        <v>0</v>
      </c>
      <c r="V157" s="84">
        <f>ROUND(IFERROR(VLOOKUP($C157,Таблица!$B$344:$K$351,9,FALSE),7)/100*$AC157,2)</f>
        <v>0</v>
      </c>
      <c r="W157" s="84">
        <f>ROUND(IFERROR(VLOOKUP($C157,Таблица!$B$344:$K$351,10,FALSE),10)/100*$AC157,2)</f>
        <v>0</v>
      </c>
      <c r="X157" s="88">
        <f>IF($R157="",0,ROUND($R157*IF($M157&gt;=110,Таблица!$P$44,Таблица!$P$36)*(1+$K$159),2))</f>
        <v>0</v>
      </c>
      <c r="Y157" s="88">
        <f>IF($R157="",0,ROUND($R157*IF($M157&gt;=110,Таблица!$P$45,Таблица!$P$37)*IF($M$12,0.8,1)*(1+$K$159),2))</f>
        <v>0</v>
      </c>
      <c r="Z157" s="88">
        <f>IF($R157="",0,ROUND($R157*IF($M157&gt;=110,Таблица!$P$46,Таблица!$P$38)*(1+$K$159),2))</f>
        <v>0</v>
      </c>
      <c r="AA157" s="88">
        <f>IF($R157="",0,ROUND($R157*IF($M157&gt;=110,Таблица!$P$47,Таблица!$P$39)*(1+$K$159),2))</f>
        <v>0</v>
      </c>
      <c r="AB157" s="88">
        <f>IF($R157="",0,ROUND($R157*IF($M157&gt;=110,Таблица!$P$48,Таблица!$P$40)*(1+$K$159),2))</f>
        <v>0</v>
      </c>
      <c r="AC157" s="139">
        <f t="shared" si="76"/>
        <v>0</v>
      </c>
      <c r="AD157" s="89"/>
      <c r="AE157" s="85"/>
      <c r="AF157" s="85"/>
    </row>
    <row r="158" spans="1:32" x14ac:dyDescent="0.2">
      <c r="A158" s="134" t="str">
        <f>IF(C158="","",MAX(A$135:A157)+1)</f>
        <v/>
      </c>
      <c r="B158" s="1" t="str">
        <f>IFERROR(VLOOKUP($C158,Таблица!$B$344:$E$351,2,FALSE),"")</f>
        <v/>
      </c>
      <c r="C158" s="31"/>
      <c r="D158" s="31"/>
      <c r="E158" s="32"/>
      <c r="F158" s="32"/>
      <c r="G158" s="1"/>
      <c r="H158" s="1"/>
      <c r="I158" s="1"/>
      <c r="J158" s="1" t="str">
        <f>IF($C158="","","100 м")</f>
        <v/>
      </c>
      <c r="K158" s="42"/>
      <c r="L158" s="1">
        <f>IFERROR(VLOOKUP($C158,Таблица!$B$344:$K$351,3,FALSE),0)</f>
        <v>0</v>
      </c>
      <c r="M158" s="1" t="str">
        <f>IFERROR(VLOOKUP($C158,Таблица!$B$344:$F$351,5,FALSE),"")</f>
        <v/>
      </c>
      <c r="N158" s="1" t="str">
        <f>IFERROR(VLOOKUP($C158,Таблица!$B$344:$E$351,4,FALSE),"")</f>
        <v/>
      </c>
      <c r="O158" s="1">
        <f t="shared" si="72"/>
        <v>1</v>
      </c>
      <c r="P158" s="42"/>
      <c r="Q158" s="1" t="str">
        <f>IF(OR(AND(ISERROR(VLOOKUP($C158,Таблица!$B$344:$E$351,2,FALSE)),$C158&lt;&gt;""),P158&lt;&gt;""),"√","")</f>
        <v/>
      </c>
      <c r="R158" s="249">
        <f t="shared" si="75"/>
        <v>0</v>
      </c>
      <c r="S158" s="62">
        <f>ROUND(IFERROR(VLOOKUP($C158,Таблица!$B$344:$K$351,6,FALSE),82.5)/100*$AC158,2)</f>
        <v>0</v>
      </c>
      <c r="T158" s="62">
        <f>ROUND(IFERROR(VLOOKUP($C158,Таблица!$B$344:$K$351,7,FALSE),0)/100*$AC158,2)</f>
        <v>0</v>
      </c>
      <c r="U158" s="84">
        <f>ROUND(IFERROR(VLOOKUP($C158,Таблица!$B$344:$K$351,8,FALSE),0.5)/100*$AC158,2)</f>
        <v>0</v>
      </c>
      <c r="V158" s="84">
        <f>ROUND(IFERROR(VLOOKUP($C158,Таблица!$B$344:$K$351,9,FALSE),7)/100*$AC158,2)</f>
        <v>0</v>
      </c>
      <c r="W158" s="84">
        <f>ROUND(IFERROR(VLOOKUP($C158,Таблица!$B$344:$K$351,10,FALSE),10)/100*$AC158,2)</f>
        <v>0</v>
      </c>
      <c r="X158" s="88">
        <f>IF($R158="",0,ROUND($R158*IF($M158&gt;=110,Таблица!$P$44,Таблица!$P$36)*(1+$K$159),2))</f>
        <v>0</v>
      </c>
      <c r="Y158" s="88">
        <f>IF($R158="",0,ROUND($R158*IF($M158&gt;=110,Таблица!$P$45,Таблица!$P$37)*IF($M$12,0.8,1)*(1+$K$159),2))</f>
        <v>0</v>
      </c>
      <c r="Z158" s="88">
        <f>IF($R158="",0,ROUND($R158*IF($M158&gt;=110,Таблица!$P$46,Таблица!$P$38)*(1+$K$159),2))</f>
        <v>0</v>
      </c>
      <c r="AA158" s="88">
        <f>IF($R158="",0,ROUND($R158*IF($M158&gt;=110,Таблица!$P$47,Таблица!$P$39)*(1+$K$159),2))</f>
        <v>0</v>
      </c>
      <c r="AB158" s="88">
        <f>IF($R158="",0,ROUND($R158*IF($M158&gt;=110,Таблица!$P$48,Таблица!$P$40)*(1+$K$159),2))</f>
        <v>0</v>
      </c>
      <c r="AC158" s="139">
        <f t="shared" si="66"/>
        <v>0</v>
      </c>
      <c r="AE158" s="85"/>
      <c r="AF158" s="85"/>
    </row>
    <row r="159" spans="1:32" x14ac:dyDescent="0.2">
      <c r="A159" s="134"/>
      <c r="B159" s="1"/>
      <c r="C159" s="1" t="str">
        <f>IF($M$12,"Реконструкция КЛ","")</f>
        <v/>
      </c>
      <c r="D159" s="15"/>
      <c r="E159" s="1"/>
      <c r="F159" s="1"/>
      <c r="G159" s="1"/>
      <c r="H159" s="1"/>
      <c r="I159" s="1"/>
      <c r="J159" s="1" t="str">
        <f>IF($M$12,"%","")</f>
        <v/>
      </c>
      <c r="K159" s="12">
        <f>IF($C$12=Таблица!$M$7,Таблица!$P$7,IF($C$12=Таблица!$M$8,Таблица!$P$8,1))-1</f>
        <v>0</v>
      </c>
      <c r="L159" s="1"/>
      <c r="M159" s="1"/>
      <c r="N159" s="1"/>
      <c r="O159" s="1"/>
      <c r="P159" s="1"/>
      <c r="Q159" s="1"/>
      <c r="R159" s="249">
        <f>ROUND(SUM(R138:R158)*K159,2)</f>
        <v>0</v>
      </c>
      <c r="S159" s="85"/>
      <c r="T159" s="85"/>
      <c r="U159" s="86"/>
      <c r="V159" s="86"/>
      <c r="W159" s="86"/>
      <c r="AC159" s="89"/>
      <c r="AE159" s="85"/>
      <c r="AF159" s="85"/>
    </row>
    <row r="160" spans="1:32" hidden="1" x14ac:dyDescent="0.2">
      <c r="A160" s="135" t="s">
        <v>636</v>
      </c>
      <c r="B160" s="1"/>
      <c r="C160" s="1" t="s">
        <v>1012</v>
      </c>
      <c r="D160" s="15"/>
      <c r="E160" s="1"/>
      <c r="F160" s="1"/>
      <c r="G160" s="1"/>
      <c r="H160" s="1"/>
      <c r="I160" s="1"/>
      <c r="J160" s="1"/>
      <c r="K160" s="12"/>
      <c r="L160" s="1"/>
      <c r="M160" s="1"/>
      <c r="N160" s="1"/>
      <c r="O160" s="1"/>
      <c r="P160" s="1"/>
      <c r="Q160" s="1"/>
      <c r="R160" s="249"/>
      <c r="S160" s="91">
        <f>SUM(S138:S158)</f>
        <v>0</v>
      </c>
      <c r="T160" s="91">
        <f t="shared" ref="T160:AB160" si="77">SUM(T138:T158)</f>
        <v>0</v>
      </c>
      <c r="U160" s="92">
        <f t="shared" si="77"/>
        <v>0</v>
      </c>
      <c r="V160" s="92">
        <f t="shared" si="77"/>
        <v>0</v>
      </c>
      <c r="W160" s="92">
        <f t="shared" si="77"/>
        <v>0</v>
      </c>
      <c r="X160" s="99">
        <f t="shared" si="77"/>
        <v>0</v>
      </c>
      <c r="Y160" s="99">
        <f t="shared" si="77"/>
        <v>0</v>
      </c>
      <c r="Z160" s="99">
        <f t="shared" si="77"/>
        <v>0</v>
      </c>
      <c r="AA160" s="99">
        <f t="shared" si="77"/>
        <v>0</v>
      </c>
      <c r="AB160" s="99">
        <f t="shared" si="77"/>
        <v>0</v>
      </c>
      <c r="AC160" s="89"/>
      <c r="AE160" s="85"/>
      <c r="AF160" s="85"/>
    </row>
    <row r="161" spans="1:34" x14ac:dyDescent="0.2">
      <c r="A161" s="114"/>
      <c r="B161" s="1"/>
      <c r="C161" s="15" t="s">
        <v>1000</v>
      </c>
      <c r="D161" s="15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249">
        <v>0</v>
      </c>
      <c r="S161" s="85"/>
      <c r="T161" s="85"/>
      <c r="U161" s="86"/>
      <c r="V161" s="86"/>
      <c r="W161" s="86"/>
      <c r="AC161" s="89"/>
      <c r="AE161" s="85"/>
      <c r="AF161" s="85"/>
    </row>
    <row r="162" spans="1:34" x14ac:dyDescent="0.2">
      <c r="A162" s="134" t="str">
        <f>IF(C162="","",MAX(A$135:A161)+1)</f>
        <v/>
      </c>
      <c r="B162" s="1" t="str">
        <f>IFERROR(VLOOKUP($C162,Таблица!$B$361:$E$363,2,FALSE),"")</f>
        <v/>
      </c>
      <c r="C162" s="31"/>
      <c r="D162" s="31"/>
      <c r="E162" s="32"/>
      <c r="F162" s="32"/>
      <c r="G162" s="1"/>
      <c r="H162" s="1"/>
      <c r="I162" s="1"/>
      <c r="J162" s="1" t="str">
        <f>IF($C162="","","км")</f>
        <v/>
      </c>
      <c r="K162" s="42"/>
      <c r="L162" s="1">
        <f>IFERROR(VLOOKUP($C162,Таблица!$B$361:$K$363,3,FALSE),0)</f>
        <v>0</v>
      </c>
      <c r="M162" s="1" t="str">
        <f>IFERROR(VLOOKUP($C162,Таблица!$B$361:$F$363,5,FALSE),"")</f>
        <v/>
      </c>
      <c r="N162" s="1" t="str">
        <f>IFERROR(VLOOKUP($C162,Таблица!$B$361:$E$363,4,FALSE),"")</f>
        <v/>
      </c>
      <c r="O162" s="1">
        <f>IF(E162="",1,E162)*IF(F162="",1,F162)*IF(G162="",1,G162)*IF(H162="",1,H162)*IF(I162="",1,I162)</f>
        <v>1</v>
      </c>
      <c r="P162" s="51"/>
      <c r="Q162" s="1" t="str">
        <f>IF(OR(AND(ISERROR(VLOOKUP($C162,Таблица!$B$361:$E$363,2,FALSE)),$C162&lt;&gt;""),P162&lt;&gt;""),"√","")</f>
        <v/>
      </c>
      <c r="R162" s="249">
        <f>IFERROR(ROUND(K162*IF(P162="",N162*O162,P162*O162),2),0)</f>
        <v>0</v>
      </c>
      <c r="S162" s="62">
        <f>ROUND(IFERROR(VLOOKUP($C162,Таблица!$B$361:$K$363,6,FALSE),82.5)/100*$AC162,2)</f>
        <v>0</v>
      </c>
      <c r="T162" s="62">
        <f>ROUND(IFERROR(VLOOKUP($C162,Таблица!$B$361:$K$363,7,FALSE),0)/100*$AC162,2)</f>
        <v>0</v>
      </c>
      <c r="U162" s="84">
        <f>ROUND(IFERROR(VLOOKUP($C162,Таблица!$B$361:$K$363,8,FALSE),0.5)/100*$AC162,2)</f>
        <v>0</v>
      </c>
      <c r="V162" s="84">
        <f>ROUND(IFERROR(VLOOKUP($C162,Таблица!$B$361:$K$363,9,FALSE),7)/100*$AC162,2)</f>
        <v>0</v>
      </c>
      <c r="W162" s="84">
        <f>ROUND(IFERROR(VLOOKUP($C162,Таблица!$B$361:$K$363,10,FALSE),10)/100*$AC162,2)</f>
        <v>0</v>
      </c>
      <c r="X162" s="88">
        <f>IF($R162="",0,ROUND($R162*IF($M162&gt;=110,Таблица!$P$44,Таблица!$P$36),2))</f>
        <v>0</v>
      </c>
      <c r="Y162" s="88">
        <f>IF($R162="",0,ROUND($R162*IF($M162&gt;=110,Таблица!$P$45,Таблица!$P$37)*IF($M$12,0.8,1),2))</f>
        <v>0</v>
      </c>
      <c r="Z162" s="88">
        <f>IF($R162="",0,ROUND($R162*IF($M162&gt;=110,Таблица!$P$46,Таблица!$P$38),2))</f>
        <v>0</v>
      </c>
      <c r="AA162" s="88">
        <f>IF($R162="",0,ROUND($R162*IF($M162&gt;=110,Таблица!$P$47,Таблица!$P$39),2))</f>
        <v>0</v>
      </c>
      <c r="AB162" s="88">
        <f>IF($R162="",0,ROUND($R162*IF($M162&gt;=110,Таблица!$P$48,Таблица!$P$40),2))</f>
        <v>0</v>
      </c>
      <c r="AC162" s="139">
        <f>IFERROR(R162+SUM(X162:AB162),0)</f>
        <v>0</v>
      </c>
      <c r="AE162" s="85"/>
      <c r="AF162" s="85"/>
    </row>
    <row r="163" spans="1:34" s="60" customFormat="1" x14ac:dyDescent="0.2">
      <c r="A163" s="134" t="str">
        <f>IF(C163="","",MAX(A$135:A162)+1)</f>
        <v/>
      </c>
      <c r="B163" s="56" t="str">
        <f>IFERROR(VLOOKUP($C163,Таблица!$B$361:$E$363,2,FALSE),"")</f>
        <v/>
      </c>
      <c r="C163" s="48"/>
      <c r="D163" s="48"/>
      <c r="E163" s="50"/>
      <c r="F163" s="50"/>
      <c r="G163" s="56"/>
      <c r="H163" s="56"/>
      <c r="I163" s="56"/>
      <c r="J163" s="56" t="str">
        <f t="shared" ref="J163:J165" si="78">IF($C163="","","км")</f>
        <v/>
      </c>
      <c r="K163" s="51"/>
      <c r="L163" s="56">
        <f>IFERROR(VLOOKUP($C163,Таблица!$B$361:$K$363,3,FALSE),0)</f>
        <v>0</v>
      </c>
      <c r="M163" s="56" t="str">
        <f>IFERROR(VLOOKUP($C163,Таблица!$B$361:$F$363,5,FALSE),"")</f>
        <v/>
      </c>
      <c r="N163" s="56" t="str">
        <f>IFERROR(VLOOKUP($C163,Таблица!$B$361:$E$363,4,FALSE),"")</f>
        <v/>
      </c>
      <c r="O163" s="56">
        <f t="shared" ref="O163:O165" si="79">IF(E163="",1,E163)*IF(F163="",1,F163)*IF(G163="",1,G163)*IF(H163="",1,H163)*IF(I163="",1,I163)</f>
        <v>1</v>
      </c>
      <c r="P163" s="51"/>
      <c r="Q163" s="56" t="str">
        <f>IF(OR(AND(ISERROR(VLOOKUP($C163,Таблица!$B$361:$E$363,2,FALSE)),$C163&lt;&gt;""),P163&lt;&gt;""),"√","")</f>
        <v/>
      </c>
      <c r="R163" s="249">
        <f t="shared" ref="R163:R166" si="80">IFERROR(ROUND(K163*IF(P163="",N163*O163,P163*O163),2),0)</f>
        <v>0</v>
      </c>
      <c r="S163" s="62">
        <f>ROUND(IFERROR(VLOOKUP($C163,Таблица!$B$361:$K$363,6,FALSE),82.5)/100*$AC163,2)</f>
        <v>0</v>
      </c>
      <c r="T163" s="62">
        <f>ROUND(IFERROR(VLOOKUP($C163,Таблица!$B$361:$K$363,7,FALSE),0)/100*$AC163,2)</f>
        <v>0</v>
      </c>
      <c r="U163" s="84">
        <f>ROUND(IFERROR(VLOOKUP($C163,Таблица!$B$361:$K$363,8,FALSE),0.5)/100*$AC163,2)</f>
        <v>0</v>
      </c>
      <c r="V163" s="84">
        <f>ROUND(IFERROR(VLOOKUP($C163,Таблица!$B$361:$K$363,9,FALSE),7)/100*$AC163,2)</f>
        <v>0</v>
      </c>
      <c r="W163" s="84">
        <f>ROUND(IFERROR(VLOOKUP($C163,Таблица!$B$361:$K$363,10,FALSE),10)/100*$AC163,2)</f>
        <v>0</v>
      </c>
      <c r="X163" s="88">
        <f>IF($R163="",0,ROUND($R163*IF($M163&gt;=110,Таблица!$P$44,Таблица!$P$36),2))</f>
        <v>0</v>
      </c>
      <c r="Y163" s="88">
        <f>IF($R163="",0,ROUND($R163*IF($M163&gt;=110,Таблица!$P$45,Таблица!$P$37)*IF($M$12,0.8,1),2))</f>
        <v>0</v>
      </c>
      <c r="Z163" s="88">
        <f>IF($R163="",0,ROUND($R163*IF($M163&gt;=110,Таблица!$P$46,Таблица!$P$38),2))</f>
        <v>0</v>
      </c>
      <c r="AA163" s="88">
        <f>IF($R163="",0,ROUND($R163*IF($M163&gt;=110,Таблица!$P$47,Таблица!$P$39),2))</f>
        <v>0</v>
      </c>
      <c r="AB163" s="88">
        <f>IF($R163="",0,ROUND($R163*IF($M163&gt;=110,Таблица!$P$48,Таблица!$P$40),2))</f>
        <v>0</v>
      </c>
      <c r="AC163" s="139">
        <f t="shared" ref="AC163:AC165" si="81">IFERROR(R163+SUM(X163:AB163),0)</f>
        <v>0</v>
      </c>
      <c r="AD163" s="89"/>
      <c r="AE163" s="85"/>
      <c r="AF163" s="85"/>
    </row>
    <row r="164" spans="1:34" s="60" customFormat="1" x14ac:dyDescent="0.2">
      <c r="A164" s="134" t="str">
        <f>IF(C164="","",MAX(A$135:A163)+1)</f>
        <v/>
      </c>
      <c r="B164" s="56" t="str">
        <f>IFERROR(VLOOKUP($C164,Таблица!$B$361:$E$363,2,FALSE),"")</f>
        <v/>
      </c>
      <c r="C164" s="48"/>
      <c r="D164" s="48"/>
      <c r="E164" s="50"/>
      <c r="F164" s="50"/>
      <c r="G164" s="56"/>
      <c r="H164" s="56"/>
      <c r="I164" s="56"/>
      <c r="J164" s="56" t="str">
        <f t="shared" si="78"/>
        <v/>
      </c>
      <c r="K164" s="51"/>
      <c r="L164" s="56">
        <f>IFERROR(VLOOKUP($C164,Таблица!$B$361:$K$363,3,FALSE),0)</f>
        <v>0</v>
      </c>
      <c r="M164" s="56" t="str">
        <f>IFERROR(VLOOKUP($C164,Таблица!$B$361:$F$363,5,FALSE),"")</f>
        <v/>
      </c>
      <c r="N164" s="56" t="str">
        <f>IFERROR(VLOOKUP($C164,Таблица!$B$361:$E$363,4,FALSE),"")</f>
        <v/>
      </c>
      <c r="O164" s="56">
        <f t="shared" si="79"/>
        <v>1</v>
      </c>
      <c r="P164" s="51"/>
      <c r="Q164" s="56" t="str">
        <f>IF(OR(AND(ISERROR(VLOOKUP($C164,Таблица!$B$361:$E$363,2,FALSE)),$C164&lt;&gt;""),P164&lt;&gt;""),"√","")</f>
        <v/>
      </c>
      <c r="R164" s="249">
        <f t="shared" si="80"/>
        <v>0</v>
      </c>
      <c r="S164" s="62">
        <f>ROUND(IFERROR(VLOOKUP($C164,Таблица!$B$361:$K$363,6,FALSE),82.5)/100*$AC164,2)</f>
        <v>0</v>
      </c>
      <c r="T164" s="62">
        <f>ROUND(IFERROR(VLOOKUP($C164,Таблица!$B$361:$K$363,7,FALSE),0)/100*$AC164,2)</f>
        <v>0</v>
      </c>
      <c r="U164" s="84">
        <f>ROUND(IFERROR(VLOOKUP($C164,Таблица!$B$361:$K$363,8,FALSE),0.5)/100*$AC164,2)</f>
        <v>0</v>
      </c>
      <c r="V164" s="84">
        <f>ROUND(IFERROR(VLOOKUP($C164,Таблица!$B$361:$K$363,9,FALSE),7)/100*$AC164,2)</f>
        <v>0</v>
      </c>
      <c r="W164" s="84">
        <f>ROUND(IFERROR(VLOOKUP($C164,Таблица!$B$361:$K$363,10,FALSE),10)/100*$AC164,2)</f>
        <v>0</v>
      </c>
      <c r="X164" s="88">
        <f>IF($R164="",0,ROUND($R164*IF($M164&gt;=110,Таблица!$P$44,Таблица!$P$36),2))</f>
        <v>0</v>
      </c>
      <c r="Y164" s="88">
        <f>IF($R164="",0,ROUND($R164*IF($M164&gt;=110,Таблица!$P$45,Таблица!$P$37)*IF($M$12,0.8,1),2))</f>
        <v>0</v>
      </c>
      <c r="Z164" s="88">
        <f>IF($R164="",0,ROUND($R164*IF($M164&gt;=110,Таблица!$P$46,Таблица!$P$38),2))</f>
        <v>0</v>
      </c>
      <c r="AA164" s="88">
        <f>IF($R164="",0,ROUND($R164*IF($M164&gt;=110,Таблица!$P$47,Таблица!$P$39),2))</f>
        <v>0</v>
      </c>
      <c r="AB164" s="88">
        <f>IF($R164="",0,ROUND($R164*IF($M164&gt;=110,Таблица!$P$48,Таблица!$P$40),2))</f>
        <v>0</v>
      </c>
      <c r="AC164" s="139">
        <f t="shared" si="81"/>
        <v>0</v>
      </c>
      <c r="AD164" s="89"/>
      <c r="AE164" s="85"/>
      <c r="AF164" s="85"/>
    </row>
    <row r="165" spans="1:34" s="60" customFormat="1" x14ac:dyDescent="0.2">
      <c r="A165" s="134" t="str">
        <f>IF(C165="","",MAX(A$135:A164)+1)</f>
        <v/>
      </c>
      <c r="B165" s="56" t="str">
        <f>IFERROR(VLOOKUP($C165,Таблица!$B$361:$E$363,2,FALSE),"")</f>
        <v/>
      </c>
      <c r="C165" s="48"/>
      <c r="D165" s="48"/>
      <c r="E165" s="50"/>
      <c r="F165" s="50"/>
      <c r="G165" s="56"/>
      <c r="H165" s="56"/>
      <c r="I165" s="56"/>
      <c r="J165" s="56" t="str">
        <f t="shared" si="78"/>
        <v/>
      </c>
      <c r="K165" s="51"/>
      <c r="L165" s="56">
        <f>IFERROR(VLOOKUP($C165,Таблица!$B$361:$K$363,3,FALSE),0)</f>
        <v>0</v>
      </c>
      <c r="M165" s="56" t="str">
        <f>IFERROR(VLOOKUP($C165,Таблица!$B$361:$F$363,5,FALSE),"")</f>
        <v/>
      </c>
      <c r="N165" s="56" t="str">
        <f>IFERROR(VLOOKUP($C165,Таблица!$B$361:$E$363,4,FALSE),"")</f>
        <v/>
      </c>
      <c r="O165" s="56">
        <f t="shared" si="79"/>
        <v>1</v>
      </c>
      <c r="P165" s="51"/>
      <c r="Q165" s="56" t="str">
        <f>IF(OR(AND(ISERROR(VLOOKUP($C165,Таблица!$B$361:$E$363,2,FALSE)),$C165&lt;&gt;""),P165&lt;&gt;""),"√","")</f>
        <v/>
      </c>
      <c r="R165" s="249">
        <f t="shared" si="80"/>
        <v>0</v>
      </c>
      <c r="S165" s="62">
        <f>ROUND(IFERROR(VLOOKUP($C165,Таблица!$B$361:$K$363,6,FALSE),82.5)/100*$AC165,2)</f>
        <v>0</v>
      </c>
      <c r="T165" s="62">
        <f>ROUND(IFERROR(VLOOKUP($C165,Таблица!$B$361:$K$363,7,FALSE),0)/100*$AC165,2)</f>
        <v>0</v>
      </c>
      <c r="U165" s="84">
        <f>ROUND(IFERROR(VLOOKUP($C165,Таблица!$B$361:$K$363,8,FALSE),0.5)/100*$AC165,2)</f>
        <v>0</v>
      </c>
      <c r="V165" s="84">
        <f>ROUND(IFERROR(VLOOKUP($C165,Таблица!$B$361:$K$363,9,FALSE),7)/100*$AC165,2)</f>
        <v>0</v>
      </c>
      <c r="W165" s="84">
        <f>ROUND(IFERROR(VLOOKUP($C165,Таблица!$B$361:$K$363,10,FALSE),10)/100*$AC165,2)</f>
        <v>0</v>
      </c>
      <c r="X165" s="88">
        <f>IF($R165="",0,ROUND($R165*IF($M165&gt;=110,Таблица!$P$44,Таблица!$P$36),2))</f>
        <v>0</v>
      </c>
      <c r="Y165" s="88">
        <f>IF($R165="",0,ROUND($R165*IF($M165&gt;=110,Таблица!$P$45,Таблица!$P$37)*IF($M$12,0.8,1),2))</f>
        <v>0</v>
      </c>
      <c r="Z165" s="88">
        <f>IF($R165="",0,ROUND($R165*IF($M165&gt;=110,Таблица!$P$46,Таблица!$P$38),2))</f>
        <v>0</v>
      </c>
      <c r="AA165" s="88">
        <f>IF($R165="",0,ROUND($R165*IF($M165&gt;=110,Таблица!$P$47,Таблица!$P$39),2))</f>
        <v>0</v>
      </c>
      <c r="AB165" s="88">
        <f>IF($R165="",0,ROUND($R165*IF($M165&gt;=110,Таблица!$P$48,Таблица!$P$40),2))</f>
        <v>0</v>
      </c>
      <c r="AC165" s="139">
        <f t="shared" si="81"/>
        <v>0</v>
      </c>
      <c r="AD165" s="89"/>
      <c r="AE165" s="85"/>
      <c r="AF165" s="85"/>
    </row>
    <row r="166" spans="1:34" x14ac:dyDescent="0.2">
      <c r="A166" s="134" t="str">
        <f>IF(C166="","",MAX(A$135:A165)+1)</f>
        <v/>
      </c>
      <c r="B166" s="1" t="str">
        <f>IFERROR(VLOOKUP($C166,Таблица!$B$361:$E$363,2,FALSE),"")</f>
        <v/>
      </c>
      <c r="C166" s="31"/>
      <c r="D166" s="31"/>
      <c r="E166" s="32"/>
      <c r="F166" s="32"/>
      <c r="G166" s="1"/>
      <c r="H166" s="1"/>
      <c r="I166" s="1"/>
      <c r="J166" s="1" t="str">
        <f>IF($C166="","","км")</f>
        <v/>
      </c>
      <c r="K166" s="42"/>
      <c r="L166" s="1">
        <f>IFERROR(VLOOKUP($C166,Таблица!$B$361:$K$363,3,FALSE),0)</f>
        <v>0</v>
      </c>
      <c r="M166" s="1" t="str">
        <f>IFERROR(VLOOKUP($C166,Таблица!$B$361:$F$363,5,FALSE),"")</f>
        <v/>
      </c>
      <c r="N166" s="1" t="str">
        <f>IFERROR(VLOOKUP($C166,Таблица!$B$361:$E$363,4,FALSE),"")</f>
        <v/>
      </c>
      <c r="O166" s="1">
        <f>IF(E166="",1,E166)*IF(F166="",1,F166)*IF(G166="",1,G166)*IF(H166="",1,H166)*IF(I166="",1,I166)</f>
        <v>1</v>
      </c>
      <c r="P166" s="51"/>
      <c r="Q166" s="1" t="str">
        <f>IF(OR(AND(ISERROR(VLOOKUP($C166,Таблица!$B$361:$E$363,2,FALSE)),$C166&lt;&gt;""),P166&lt;&gt;""),"√","")</f>
        <v/>
      </c>
      <c r="R166" s="249">
        <f t="shared" si="80"/>
        <v>0</v>
      </c>
      <c r="S166" s="62">
        <f>ROUND(IFERROR(VLOOKUP($C166,Таблица!$B$361:$K$363,6,FALSE),82.5)/100*$AC166,2)</f>
        <v>0</v>
      </c>
      <c r="T166" s="62">
        <f>ROUND(IFERROR(VLOOKUP($C166,Таблица!$B$361:$K$363,7,FALSE),0)/100*$AC166,2)</f>
        <v>0</v>
      </c>
      <c r="U166" s="84">
        <f>ROUND(IFERROR(VLOOKUP($C166,Таблица!$B$361:$K$363,8,FALSE),0.5)/100*$AC166,2)</f>
        <v>0</v>
      </c>
      <c r="V166" s="84">
        <f>ROUND(IFERROR(VLOOKUP($C166,Таблица!$B$361:$K$363,9,FALSE),7)/100*$AC166,2)</f>
        <v>0</v>
      </c>
      <c r="W166" s="84">
        <f>ROUND(IFERROR(VLOOKUP($C166,Таблица!$B$361:$K$363,10,FALSE),10)/100*$AC166,2)</f>
        <v>0</v>
      </c>
      <c r="X166" s="88">
        <f>IF($R166="",0,ROUND($R166*IF($M166&gt;=110,Таблица!$P$44,Таблица!$P$36),2))</f>
        <v>0</v>
      </c>
      <c r="Y166" s="88">
        <f>IF($R166="",0,ROUND($R166*IF($M166&gt;=110,Таблица!$P$45,Таблица!$P$37)*IF($M$12,0.8,1),2))</f>
        <v>0</v>
      </c>
      <c r="Z166" s="88">
        <f>IF($R166="",0,ROUND($R166*IF($M166&gt;=110,Таблица!$P$46,Таблица!$P$38),2))</f>
        <v>0</v>
      </c>
      <c r="AA166" s="88">
        <f>IF($R166="",0,ROUND($R166*IF($M166&gt;=110,Таблица!$P$47,Таблица!$P$39),2))</f>
        <v>0</v>
      </c>
      <c r="AB166" s="88">
        <f>IF($R166="",0,ROUND($R166*IF($M166&gt;=110,Таблица!$P$48,Таблица!$P$40),2))</f>
        <v>0</v>
      </c>
      <c r="AC166" s="139">
        <f>IFERROR(R166+SUM(X166:AB166),0)</f>
        <v>0</v>
      </c>
      <c r="AE166" s="85"/>
      <c r="AF166" s="85"/>
    </row>
    <row r="167" spans="1:34" x14ac:dyDescent="0.2">
      <c r="A167" s="134"/>
      <c r="B167" s="1"/>
      <c r="C167" s="15" t="s">
        <v>657</v>
      </c>
      <c r="D167" s="15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249">
        <v>0</v>
      </c>
      <c r="S167" s="85"/>
      <c r="T167" s="85"/>
      <c r="U167" s="86"/>
      <c r="V167" s="86"/>
      <c r="W167" s="86"/>
      <c r="AC167" s="89"/>
      <c r="AE167" s="85"/>
      <c r="AF167" s="85"/>
    </row>
    <row r="168" spans="1:34" x14ac:dyDescent="0.2">
      <c r="A168" s="134" t="str">
        <f>IF(C168="","",MAX(A$135:A167)+1)</f>
        <v/>
      </c>
      <c r="B168" s="1" t="str">
        <f>IFERROR(VLOOKUP($C168,Таблица!$B$354:$E$358,2,FALSE),"")</f>
        <v/>
      </c>
      <c r="C168" s="31"/>
      <c r="D168" s="31"/>
      <c r="E168" s="32"/>
      <c r="F168" s="32"/>
      <c r="G168" s="1"/>
      <c r="H168" s="1"/>
      <c r="I168" s="1"/>
      <c r="J168" s="1" t="str">
        <f>IF($C168="","","100 м2")</f>
        <v/>
      </c>
      <c r="K168" s="42"/>
      <c r="L168" s="1">
        <f>IFERROR(VLOOKUP($C168,Таблица!$B$354:$K$358,3,FALSE),0)</f>
        <v>0</v>
      </c>
      <c r="M168" s="1" t="str">
        <f>IFERROR(VLOOKUP($C168,Таблица!$B$354:$F$358,5,FALSE),"")</f>
        <v/>
      </c>
      <c r="N168" s="1" t="str">
        <f>IFERROR(VLOOKUP($C168,Таблица!$B$354:$E$358,4,FALSE),"")</f>
        <v/>
      </c>
      <c r="O168" s="1">
        <f t="shared" ref="O168:O178" si="82">IF(E168="",1,E168)*IF(F168="",1,F168)*IF(G168="",1,G168)*IF(H168="",1,H168)*IF(I168="",1,I168)</f>
        <v>1</v>
      </c>
      <c r="P168" s="42"/>
      <c r="Q168" s="1" t="str">
        <f>IF(OR(AND(ISERROR(VLOOKUP($C168,Таблица!$B$354:$E$358,2,FALSE)),$C168&lt;&gt;""),P168&lt;&gt;""),"√","")</f>
        <v/>
      </c>
      <c r="R168" s="249">
        <f>IFERROR(ROUND(K168*IF(P168="",N168*O168,P168*O168),2),0)</f>
        <v>0</v>
      </c>
      <c r="S168" s="62">
        <f>ROUND(IFERROR(VLOOKUP($C168,Таблица!$B$354:$K$358,6,FALSE),93)/100*$AC168,2)</f>
        <v>0</v>
      </c>
      <c r="T168" s="62">
        <f>ROUND(IFERROR(VLOOKUP($C168,Таблица!$B$354:$K$358,7,FALSE),0)/100*$AC168,2)</f>
        <v>0</v>
      </c>
      <c r="U168" s="84">
        <f>ROUND(IFERROR(VLOOKUP($C168,Таблица!$B$354:$K$358,8,FALSE),0)/100*$AC168,2)</f>
        <v>0</v>
      </c>
      <c r="V168" s="84">
        <f>ROUND(IFERROR(VLOOKUP($C168,Таблица!$B$354:$K$358,9,FALSE),7)/100*$AC168,2)</f>
        <v>0</v>
      </c>
      <c r="W168" s="84">
        <f>ROUND(IFERROR(VLOOKUP($C168,Таблица!$B$354:$K$358,10,FALSE),0)/100*$AC168,2)</f>
        <v>0</v>
      </c>
      <c r="X168" s="88">
        <f>IF($R168="",0,ROUND($R168*IF($M168&gt;=110,Таблица!$P$44,Таблица!$P$36),2))</f>
        <v>0</v>
      </c>
      <c r="Y168" s="88">
        <f>IF($R168="",0,ROUND($R168*IF($M168&gt;=110,Таблица!$P$45,Таблица!$P$37)*IF($M$12,0.8,1),2))</f>
        <v>0</v>
      </c>
      <c r="Z168" s="88">
        <f>IF($R168="",0,ROUND($R168*IF($M168&gt;=110,Таблица!$P$46,Таблица!$P$38),2))</f>
        <v>0</v>
      </c>
      <c r="AA168" s="88">
        <f>IF($R168="",0,ROUND($R168*IF($M168&gt;=110,Таблица!$P$47,Таблица!$P$39),2))</f>
        <v>0</v>
      </c>
      <c r="AB168" s="88">
        <f>IF($R168="",0,ROUND($R168*IF($M168&gt;=110,Таблица!$P$48,Таблица!$P$40),2))</f>
        <v>0</v>
      </c>
      <c r="AC168" s="139">
        <f t="shared" ref="AC168:AC172" si="83">IFERROR(R168+SUM(X168:AB168),0)</f>
        <v>0</v>
      </c>
      <c r="AE168" s="85"/>
      <c r="AF168" s="85"/>
    </row>
    <row r="169" spans="1:34" s="46" customFormat="1" x14ac:dyDescent="0.2">
      <c r="A169" s="134" t="str">
        <f>IF(C169="","",MAX(A$135:A168)+1)</f>
        <v/>
      </c>
      <c r="B169" s="56" t="str">
        <f>IFERROR(VLOOKUP($C169,Таблица!$B$354:$E$358,2,FALSE),"")</f>
        <v/>
      </c>
      <c r="C169" s="48"/>
      <c r="D169" s="48"/>
      <c r="E169" s="50"/>
      <c r="F169" s="50"/>
      <c r="G169" s="45"/>
      <c r="H169" s="45"/>
      <c r="I169" s="45"/>
      <c r="J169" s="56" t="str">
        <f t="shared" ref="J169:J172" si="84">IF($C169="","","100 м2")</f>
        <v/>
      </c>
      <c r="K169" s="51"/>
      <c r="L169" s="56">
        <f>IFERROR(VLOOKUP($C169,Таблица!$B$354:$K$358,3,FALSE),0)</f>
        <v>0</v>
      </c>
      <c r="M169" s="56" t="str">
        <f>IFERROR(VLOOKUP($C169,Таблица!$B$354:$F$358,5,FALSE),"")</f>
        <v/>
      </c>
      <c r="N169" s="56" t="str">
        <f>IFERROR(VLOOKUP($C169,Таблица!$B$354:$E$358,4,FALSE),"")</f>
        <v/>
      </c>
      <c r="O169" s="56">
        <f t="shared" si="82"/>
        <v>1</v>
      </c>
      <c r="P169" s="51"/>
      <c r="Q169" s="56" t="str">
        <f>IF(OR(AND(ISERROR(VLOOKUP($C169,Таблица!$B$354:$E$358,2,FALSE)),$C169&lt;&gt;""),P169&lt;&gt;""),"√","")</f>
        <v/>
      </c>
      <c r="R169" s="249">
        <f t="shared" ref="R169:R172" si="85">IFERROR(ROUND(K169*IF(P169="",N169*O169,P169*O169),2),0)</f>
        <v>0</v>
      </c>
      <c r="S169" s="62">
        <f>ROUND(IFERROR(VLOOKUP($C169,Таблица!$B$354:$K$358,6,FALSE),93)/100*$AC169,2)</f>
        <v>0</v>
      </c>
      <c r="T169" s="62">
        <f>ROUND(IFERROR(VLOOKUP($C169,Таблица!$B$354:$K$358,7,FALSE),0)/100*$AC169,2)</f>
        <v>0</v>
      </c>
      <c r="U169" s="84">
        <f>ROUND(IFERROR(VLOOKUP($C169,Таблица!$B$354:$K$358,8,FALSE),0)/100*$AC169,2)</f>
        <v>0</v>
      </c>
      <c r="V169" s="84">
        <f>ROUND(IFERROR(VLOOKUP($C169,Таблица!$B$354:$K$358,9,FALSE),7)/100*$AC169,2)</f>
        <v>0</v>
      </c>
      <c r="W169" s="84">
        <f>ROUND(IFERROR(VLOOKUP($C169,Таблица!$B$354:$K$358,10,FALSE),0)/100*$AC169,2)</f>
        <v>0</v>
      </c>
      <c r="X169" s="88">
        <f>IF($R169="",0,ROUND($R169*IF($M169&gt;=110,Таблица!$P$44,Таблица!$P$36),2))</f>
        <v>0</v>
      </c>
      <c r="Y169" s="88">
        <f>IF($R169="",0,ROUND($R169*IF($M169&gt;=110,Таблица!$P$45,Таблица!$P$37)*IF($M$12,0.8,1),2))</f>
        <v>0</v>
      </c>
      <c r="Z169" s="88">
        <f>IF($R169="",0,ROUND($R169*IF($M169&gt;=110,Таблица!$P$46,Таблица!$P$38),2))</f>
        <v>0</v>
      </c>
      <c r="AA169" s="88">
        <f>IF($R169="",0,ROUND($R169*IF($M169&gt;=110,Таблица!$P$47,Таблица!$P$39),2))</f>
        <v>0</v>
      </c>
      <c r="AB169" s="88">
        <f>IF($R169="",0,ROUND($R169*IF($M169&gt;=110,Таблица!$P$48,Таблица!$P$40),2))</f>
        <v>0</v>
      </c>
      <c r="AC169" s="139">
        <f t="shared" si="83"/>
        <v>0</v>
      </c>
      <c r="AD169" s="89"/>
      <c r="AE169" s="85"/>
      <c r="AF169" s="85"/>
      <c r="AG169" s="60"/>
      <c r="AH169" s="60"/>
    </row>
    <row r="170" spans="1:34" s="46" customFormat="1" x14ac:dyDescent="0.2">
      <c r="A170" s="134" t="str">
        <f>IF(C170="","",MAX(A$135:A169)+1)</f>
        <v/>
      </c>
      <c r="B170" s="56" t="str">
        <f>IFERROR(VLOOKUP($C170,Таблица!$B$354:$E$358,2,FALSE),"")</f>
        <v/>
      </c>
      <c r="C170" s="48"/>
      <c r="D170" s="48"/>
      <c r="E170" s="50"/>
      <c r="F170" s="50"/>
      <c r="G170" s="45"/>
      <c r="H170" s="45"/>
      <c r="I170" s="45"/>
      <c r="J170" s="56" t="str">
        <f t="shared" si="84"/>
        <v/>
      </c>
      <c r="K170" s="51"/>
      <c r="L170" s="56">
        <f>IFERROR(VLOOKUP($C170,Таблица!$B$354:$K$358,3,FALSE),0)</f>
        <v>0</v>
      </c>
      <c r="M170" s="56" t="str">
        <f>IFERROR(VLOOKUP($C170,Таблица!$B$354:$F$358,5,FALSE),"")</f>
        <v/>
      </c>
      <c r="N170" s="56" t="str">
        <f>IFERROR(VLOOKUP($C170,Таблица!$B$354:$E$358,4,FALSE),"")</f>
        <v/>
      </c>
      <c r="O170" s="56">
        <f t="shared" si="82"/>
        <v>1</v>
      </c>
      <c r="P170" s="51"/>
      <c r="Q170" s="56" t="str">
        <f>IF(OR(AND(ISERROR(VLOOKUP($C170,Таблица!$B$354:$E$358,2,FALSE)),$C170&lt;&gt;""),P170&lt;&gt;""),"√","")</f>
        <v/>
      </c>
      <c r="R170" s="249">
        <f t="shared" si="85"/>
        <v>0</v>
      </c>
      <c r="S170" s="62">
        <f>ROUND(IFERROR(VLOOKUP($C170,Таблица!$B$354:$K$358,6,FALSE),93)/100*$AC170,2)</f>
        <v>0</v>
      </c>
      <c r="T170" s="62">
        <f>ROUND(IFERROR(VLOOKUP($C170,Таблица!$B$354:$K$358,7,FALSE),0)/100*$AC170,2)</f>
        <v>0</v>
      </c>
      <c r="U170" s="84">
        <f>ROUND(IFERROR(VLOOKUP($C170,Таблица!$B$354:$K$358,8,FALSE),0)/100*$AC170,2)</f>
        <v>0</v>
      </c>
      <c r="V170" s="84">
        <f>ROUND(IFERROR(VLOOKUP($C170,Таблица!$B$354:$K$358,9,FALSE),7)/100*$AC170,2)</f>
        <v>0</v>
      </c>
      <c r="W170" s="84">
        <f>ROUND(IFERROR(VLOOKUP($C170,Таблица!$B$354:$K$358,10,FALSE),0)/100*$AC170,2)</f>
        <v>0</v>
      </c>
      <c r="X170" s="88">
        <f>IF($R170="",0,ROUND($R170*IF($M170&gt;=110,Таблица!$P$44,Таблица!$P$36),2))</f>
        <v>0</v>
      </c>
      <c r="Y170" s="88">
        <f>IF($R170="",0,ROUND($R170*IF($M170&gt;=110,Таблица!$P$45,Таблица!$P$37)*IF($M$12,0.8,1),2))</f>
        <v>0</v>
      </c>
      <c r="Z170" s="88">
        <f>IF($R170="",0,ROUND($R170*IF($M170&gt;=110,Таблица!$P$46,Таблица!$P$38),2))</f>
        <v>0</v>
      </c>
      <c r="AA170" s="88">
        <f>IF($R170="",0,ROUND($R170*IF($M170&gt;=110,Таблица!$P$47,Таблица!$P$39),2))</f>
        <v>0</v>
      </c>
      <c r="AB170" s="88">
        <f>IF($R170="",0,ROUND($R170*IF($M170&gt;=110,Таблица!$P$48,Таблица!$P$40),2))</f>
        <v>0</v>
      </c>
      <c r="AC170" s="139">
        <f t="shared" si="83"/>
        <v>0</v>
      </c>
      <c r="AD170" s="89"/>
      <c r="AE170" s="85"/>
      <c r="AF170" s="85"/>
      <c r="AG170" s="60"/>
      <c r="AH170" s="60"/>
    </row>
    <row r="171" spans="1:34" s="46" customFormat="1" x14ac:dyDescent="0.2">
      <c r="A171" s="134" t="str">
        <f>IF(C171="","",MAX(A$135:A170)+1)</f>
        <v/>
      </c>
      <c r="B171" s="56" t="str">
        <f>IFERROR(VLOOKUP($C171,Таблица!$B$354:$E$358,2,FALSE),"")</f>
        <v/>
      </c>
      <c r="C171" s="48"/>
      <c r="D171" s="48"/>
      <c r="E171" s="50"/>
      <c r="F171" s="50"/>
      <c r="G171" s="45"/>
      <c r="H171" s="45"/>
      <c r="I171" s="45"/>
      <c r="J171" s="56" t="str">
        <f t="shared" si="84"/>
        <v/>
      </c>
      <c r="K171" s="51"/>
      <c r="L171" s="56">
        <f>IFERROR(VLOOKUP($C171,Таблица!$B$354:$K$358,3,FALSE),0)</f>
        <v>0</v>
      </c>
      <c r="M171" s="56" t="str">
        <f>IFERROR(VLOOKUP($C171,Таблица!$B$354:$F$358,5,FALSE),"")</f>
        <v/>
      </c>
      <c r="N171" s="56" t="str">
        <f>IFERROR(VLOOKUP($C171,Таблица!$B$354:$E$358,4,FALSE),"")</f>
        <v/>
      </c>
      <c r="O171" s="56">
        <f t="shared" si="82"/>
        <v>1</v>
      </c>
      <c r="P171" s="51"/>
      <c r="Q171" s="56" t="str">
        <f>IF(OR(AND(ISERROR(VLOOKUP($C171,Таблица!$B$354:$E$358,2,FALSE)),$C171&lt;&gt;""),P171&lt;&gt;""),"√","")</f>
        <v/>
      </c>
      <c r="R171" s="249">
        <f t="shared" si="85"/>
        <v>0</v>
      </c>
      <c r="S171" s="62">
        <f>ROUND(IFERROR(VLOOKUP($C171,Таблица!$B$354:$K$358,6,FALSE),93)/100*$AC171,2)</f>
        <v>0</v>
      </c>
      <c r="T171" s="62">
        <f>ROUND(IFERROR(VLOOKUP($C171,Таблица!$B$354:$K$358,7,FALSE),0)/100*$AC171,2)</f>
        <v>0</v>
      </c>
      <c r="U171" s="84">
        <f>ROUND(IFERROR(VLOOKUP($C171,Таблица!$B$354:$K$358,8,FALSE),0)/100*$AC171,2)</f>
        <v>0</v>
      </c>
      <c r="V171" s="84">
        <f>ROUND(IFERROR(VLOOKUP($C171,Таблица!$B$354:$K$358,9,FALSE),7)/100*$AC171,2)</f>
        <v>0</v>
      </c>
      <c r="W171" s="84">
        <f>ROUND(IFERROR(VLOOKUP($C171,Таблица!$B$354:$K$358,10,FALSE),0)/100*$AC171,2)</f>
        <v>0</v>
      </c>
      <c r="X171" s="88">
        <f>IF($R171="",0,ROUND($R171*IF($M171&gt;=110,Таблица!$P$44,Таблица!$P$36),2))</f>
        <v>0</v>
      </c>
      <c r="Y171" s="88">
        <f>IF($R171="",0,ROUND($R171*IF($M171&gt;=110,Таблица!$P$45,Таблица!$P$37)*IF($M$12,0.8,1),2))</f>
        <v>0</v>
      </c>
      <c r="Z171" s="88">
        <f>IF($R171="",0,ROUND($R171*IF($M171&gt;=110,Таблица!$P$46,Таблица!$P$38),2))</f>
        <v>0</v>
      </c>
      <c r="AA171" s="88">
        <f>IF($R171="",0,ROUND($R171*IF($M171&gt;=110,Таблица!$P$47,Таблица!$P$39),2))</f>
        <v>0</v>
      </c>
      <c r="AB171" s="88">
        <f>IF($R171="",0,ROUND($R171*IF($M171&gt;=110,Таблица!$P$48,Таблица!$P$40),2))</f>
        <v>0</v>
      </c>
      <c r="AC171" s="139">
        <f t="shared" si="83"/>
        <v>0</v>
      </c>
      <c r="AD171" s="89"/>
      <c r="AE171" s="85"/>
      <c r="AF171" s="85"/>
      <c r="AG171" s="60"/>
      <c r="AH171" s="60"/>
    </row>
    <row r="172" spans="1:34" x14ac:dyDescent="0.2">
      <c r="A172" s="134" t="str">
        <f>IF(C172="","",MAX(A$135:A171)+1)</f>
        <v/>
      </c>
      <c r="B172" s="56" t="str">
        <f>IFERROR(VLOOKUP($C172,Таблица!$B$354:$E$358,2,FALSE),"")</f>
        <v/>
      </c>
      <c r="C172" s="31"/>
      <c r="D172" s="31"/>
      <c r="E172" s="32"/>
      <c r="F172" s="32"/>
      <c r="G172" s="1"/>
      <c r="H172" s="1"/>
      <c r="I172" s="1"/>
      <c r="J172" s="56" t="str">
        <f t="shared" si="84"/>
        <v/>
      </c>
      <c r="K172" s="42"/>
      <c r="L172" s="1">
        <f>IFERROR(VLOOKUP($C172,Таблица!$B$354:$K$358,3,FALSE),0)</f>
        <v>0</v>
      </c>
      <c r="M172" s="56" t="str">
        <f>IFERROR(VLOOKUP($C172,Таблица!$B$354:$F$358,5,FALSE),"")</f>
        <v/>
      </c>
      <c r="N172" s="1" t="str">
        <f>IFERROR(VLOOKUP($C172,Таблица!$B$354:$E$358,4,FALSE),"")</f>
        <v/>
      </c>
      <c r="O172" s="56">
        <f t="shared" si="82"/>
        <v>1</v>
      </c>
      <c r="P172" s="42"/>
      <c r="Q172" s="56" t="str">
        <f>IF(OR(AND(ISERROR(VLOOKUP($C172,Таблица!$B$354:$E$358,2,FALSE)),$C172&lt;&gt;""),P172&lt;&gt;""),"√","")</f>
        <v/>
      </c>
      <c r="R172" s="249">
        <f t="shared" si="85"/>
        <v>0</v>
      </c>
      <c r="S172" s="62">
        <f>ROUND(IFERROR(VLOOKUP($C172,Таблица!$B$354:$K$358,6,FALSE),93)/100*$AC172,2)</f>
        <v>0</v>
      </c>
      <c r="T172" s="62">
        <f>ROUND(IFERROR(VLOOKUP($C172,Таблица!$B$354:$K$358,7,FALSE),0)/100*$AC172,2)</f>
        <v>0</v>
      </c>
      <c r="U172" s="84">
        <f>ROUND(IFERROR(VLOOKUP($C172,Таблица!$B$354:$K$358,8,FALSE),0)/100*$AC172,2)</f>
        <v>0</v>
      </c>
      <c r="V172" s="84">
        <f>ROUND(IFERROR(VLOOKUP($C172,Таблица!$B$354:$K$358,9,FALSE),7)/100*$AC172,2)</f>
        <v>0</v>
      </c>
      <c r="W172" s="84">
        <f>ROUND(IFERROR(VLOOKUP($C172,Таблица!$B$354:$K$358,10,FALSE),0)/100*$AC172,2)</f>
        <v>0</v>
      </c>
      <c r="X172" s="88">
        <f>IF($R172="",0,ROUND($R172*IF($M172&gt;=110,Таблица!$P$44,Таблица!$P$36),2))</f>
        <v>0</v>
      </c>
      <c r="Y172" s="88">
        <f>IF($R172="",0,ROUND($R172*IF($M172&gt;=110,Таблица!$P$45,Таблица!$P$37)*IF($M$12,0.8,1),2))</f>
        <v>0</v>
      </c>
      <c r="Z172" s="88">
        <f>IF($R172="",0,ROUND($R172*IF($M172&gt;=110,Таблица!$P$46,Таблица!$P$38),2))</f>
        <v>0</v>
      </c>
      <c r="AA172" s="88">
        <f>IF($R172="",0,ROUND($R172*IF($M172&gt;=110,Таблица!$P$47,Таблица!$P$39),2))</f>
        <v>0</v>
      </c>
      <c r="AB172" s="88">
        <f>IF($R172="",0,ROUND($R172*IF($M172&gt;=110,Таблица!$P$48,Таблица!$P$40),2))</f>
        <v>0</v>
      </c>
      <c r="AC172" s="139">
        <f t="shared" si="83"/>
        <v>0</v>
      </c>
      <c r="AE172" s="85"/>
      <c r="AF172" s="85"/>
    </row>
    <row r="173" spans="1:34" x14ac:dyDescent="0.2">
      <c r="A173" s="114"/>
      <c r="B173" s="1"/>
      <c r="C173" s="1" t="s">
        <v>477</v>
      </c>
      <c r="D173" s="1"/>
      <c r="E173" s="1"/>
      <c r="F173" s="1"/>
      <c r="G173" s="1"/>
      <c r="H173" s="1"/>
      <c r="I173" s="1"/>
      <c r="J173" s="1"/>
      <c r="K173" s="1"/>
      <c r="L173" s="1"/>
      <c r="M173" s="1">
        <f>MAX(M135:M152,M154:M158,M162:M166,M168:M172)</f>
        <v>0</v>
      </c>
      <c r="N173" s="1"/>
      <c r="O173" s="1"/>
      <c r="P173" s="1"/>
      <c r="Q173" s="1"/>
      <c r="R173" s="249">
        <f>SUM(R138:R172)</f>
        <v>0</v>
      </c>
      <c r="S173" s="95">
        <f t="shared" ref="S173:X173" si="86">SUM(S175:S178)</f>
        <v>0</v>
      </c>
      <c r="T173" s="95">
        <f t="shared" si="86"/>
        <v>0</v>
      </c>
      <c r="U173" s="96">
        <f t="shared" si="86"/>
        <v>0</v>
      </c>
      <c r="V173" s="96">
        <f t="shared" si="86"/>
        <v>0</v>
      </c>
      <c r="W173" s="96">
        <f t="shared" si="86"/>
        <v>0</v>
      </c>
      <c r="X173" s="112">
        <f t="shared" si="86"/>
        <v>0</v>
      </c>
      <c r="Y173" s="112">
        <f t="shared" ref="Y173:AB173" si="87">SUM(Y175:Y178)</f>
        <v>0</v>
      </c>
      <c r="Z173" s="112">
        <f t="shared" si="87"/>
        <v>0</v>
      </c>
      <c r="AA173" s="112">
        <f t="shared" si="87"/>
        <v>0</v>
      </c>
      <c r="AB173" s="112">
        <f t="shared" si="87"/>
        <v>0</v>
      </c>
      <c r="AC173" s="143">
        <f>SUM(X173:AB173)</f>
        <v>0</v>
      </c>
    </row>
    <row r="174" spans="1:34" hidden="1" x14ac:dyDescent="0.2">
      <c r="A174" s="135" t="s">
        <v>636</v>
      </c>
      <c r="C174" s="52" t="s">
        <v>1036</v>
      </c>
      <c r="K174" s="12"/>
      <c r="N174" s="14"/>
      <c r="O174" s="56">
        <f t="shared" si="82"/>
        <v>1</v>
      </c>
      <c r="R174" s="256"/>
      <c r="S174" s="93">
        <f t="shared" ref="S174:W174" si="88">IF(S160&gt;0,SUM(S162:S172)/S160,0)</f>
        <v>0</v>
      </c>
      <c r="T174" s="93">
        <f t="shared" si="88"/>
        <v>0</v>
      </c>
      <c r="U174" s="94">
        <f t="shared" si="88"/>
        <v>0</v>
      </c>
      <c r="V174" s="94">
        <f t="shared" si="88"/>
        <v>0</v>
      </c>
      <c r="W174" s="94">
        <f t="shared" si="88"/>
        <v>0</v>
      </c>
      <c r="X174" s="98">
        <f t="shared" ref="X174:Y174" si="89">IF(X160&gt;0,SUM(X162:X172)/X160,0)</f>
        <v>0</v>
      </c>
      <c r="Y174" s="98">
        <f t="shared" si="89"/>
        <v>0</v>
      </c>
      <c r="Z174" s="98">
        <f t="shared" ref="Z174:AB174" si="90">IF(Z160&gt;0,SUM(Z162:Z172)/Z160,0)</f>
        <v>0</v>
      </c>
      <c r="AA174" s="98">
        <f t="shared" si="90"/>
        <v>0</v>
      </c>
      <c r="AB174" s="98">
        <f t="shared" si="90"/>
        <v>0</v>
      </c>
    </row>
    <row r="175" spans="1:34" s="68" customFormat="1" hidden="1" x14ac:dyDescent="0.2">
      <c r="A175" s="135" t="s">
        <v>636</v>
      </c>
      <c r="B175" s="65"/>
      <c r="C175" s="65" t="s">
        <v>1013</v>
      </c>
      <c r="D175" s="65"/>
      <c r="E175" s="65"/>
      <c r="F175" s="65"/>
      <c r="G175" s="65"/>
      <c r="H175" s="65"/>
      <c r="I175" s="65"/>
      <c r="J175" s="65"/>
      <c r="K175" s="65"/>
      <c r="L175" s="65">
        <v>1</v>
      </c>
      <c r="M175" s="65"/>
      <c r="N175" s="65"/>
      <c r="O175" s="65">
        <f t="shared" si="82"/>
        <v>1</v>
      </c>
      <c r="P175" s="65"/>
      <c r="Q175" s="65"/>
      <c r="R175" s="251"/>
      <c r="S175" s="233">
        <f>(SUMIF($M$138:$M$158,"&lt;=1",S$138:S$158)-IF($P$13&gt;$M175,SUMIF($M$138:$M$158,"=0",S$138:S$158))+IF(S174,0,SUM(S162:S166)))*(1+S$174)</f>
        <v>0</v>
      </c>
      <c r="T175" s="233">
        <f t="shared" ref="T175:AB175" si="91">(SUMIF($M$138:$M$158,"&lt;=1",T$138:T$158)-IF($P$13&gt;$M175,SUMIF($M$138:$M$158,"=0",T$138:T$158))+IF(T174,0,SUM(T162:T166)))*(1+T$174)</f>
        <v>0</v>
      </c>
      <c r="U175" s="233">
        <f t="shared" si="91"/>
        <v>0</v>
      </c>
      <c r="V175" s="233">
        <f t="shared" si="91"/>
        <v>0</v>
      </c>
      <c r="W175" s="233">
        <f t="shared" si="91"/>
        <v>0</v>
      </c>
      <c r="X175" s="233">
        <f t="shared" si="91"/>
        <v>0</v>
      </c>
      <c r="Y175" s="233">
        <f t="shared" si="91"/>
        <v>0</v>
      </c>
      <c r="Z175" s="233">
        <f t="shared" si="91"/>
        <v>0</v>
      </c>
      <c r="AA175" s="233">
        <f t="shared" si="91"/>
        <v>0</v>
      </c>
      <c r="AB175" s="233">
        <f t="shared" si="91"/>
        <v>0</v>
      </c>
      <c r="AC175" s="137"/>
      <c r="AD175" s="89"/>
    </row>
    <row r="176" spans="1:34" s="68" customFormat="1" hidden="1" x14ac:dyDescent="0.2">
      <c r="A176" s="135" t="s">
        <v>636</v>
      </c>
      <c r="B176" s="65"/>
      <c r="C176" s="65" t="s">
        <v>1009</v>
      </c>
      <c r="D176" s="65"/>
      <c r="E176" s="65"/>
      <c r="F176" s="65"/>
      <c r="G176" s="65"/>
      <c r="H176" s="65"/>
      <c r="I176" s="65"/>
      <c r="J176" s="65"/>
      <c r="K176" s="65"/>
      <c r="L176" s="65">
        <v>3</v>
      </c>
      <c r="M176" s="65">
        <v>10</v>
      </c>
      <c r="N176" s="65"/>
      <c r="O176" s="65">
        <f t="shared" si="82"/>
        <v>1</v>
      </c>
      <c r="P176" s="65"/>
      <c r="Q176" s="65"/>
      <c r="R176" s="251"/>
      <c r="S176" s="233">
        <f>(SUMIF($M$138:$M$158,"&lt;=10",S$138:S$158)-IF($P$13&gt;$M176,SUMIF($M$138:$M$158,"=0",S$138:S$158))+IF(S174,0,SUM(S162:S166)))*(1+S$174)-S175</f>
        <v>0</v>
      </c>
      <c r="T176" s="233">
        <f t="shared" ref="T176:AB176" si="92">(SUMIF($M$138:$M$158,"&lt;=10",T$138:T$158)-IF($P$13&gt;$M176,SUMIF($M$138:$M$158,"=0",T$138:T$158))+IF(T174,0,SUM(T162:T166)))*(1+T$174)-T175</f>
        <v>0</v>
      </c>
      <c r="U176" s="233">
        <f t="shared" si="92"/>
        <v>0</v>
      </c>
      <c r="V176" s="233">
        <f t="shared" si="92"/>
        <v>0</v>
      </c>
      <c r="W176" s="233">
        <f t="shared" si="92"/>
        <v>0</v>
      </c>
      <c r="X176" s="233">
        <f t="shared" si="92"/>
        <v>0</v>
      </c>
      <c r="Y176" s="233">
        <f t="shared" si="92"/>
        <v>0</v>
      </c>
      <c r="Z176" s="233">
        <f t="shared" si="92"/>
        <v>0</v>
      </c>
      <c r="AA176" s="233">
        <f t="shared" si="92"/>
        <v>0</v>
      </c>
      <c r="AB176" s="233">
        <f t="shared" si="92"/>
        <v>0</v>
      </c>
      <c r="AC176" s="137"/>
      <c r="AD176" s="89"/>
    </row>
    <row r="177" spans="1:30" s="68" customFormat="1" hidden="1" x14ac:dyDescent="0.2">
      <c r="A177" s="135" t="s">
        <v>636</v>
      </c>
      <c r="B177" s="65"/>
      <c r="C177" s="65" t="s">
        <v>1011</v>
      </c>
      <c r="D177" s="65"/>
      <c r="E177" s="65"/>
      <c r="F177" s="65"/>
      <c r="G177" s="65"/>
      <c r="H177" s="65"/>
      <c r="I177" s="65"/>
      <c r="J177" s="65"/>
      <c r="K177" s="65"/>
      <c r="L177" s="65">
        <v>20</v>
      </c>
      <c r="M177" s="65">
        <v>35</v>
      </c>
      <c r="N177" s="65"/>
      <c r="O177" s="65">
        <f t="shared" si="82"/>
        <v>1</v>
      </c>
      <c r="P177" s="65"/>
      <c r="Q177" s="65"/>
      <c r="R177" s="251"/>
      <c r="S177" s="233">
        <f>(SUMIF($M$138:$M$158,"&lt;=35",S$138:S$158)-IF($P$13&gt;$M177,SUMIF($M$138:$M$158,"=0",S$138:S$158))+IF(S174,0,SUM(S162:S166)))*(1+S$174)-S175-S176</f>
        <v>0</v>
      </c>
      <c r="T177" s="233">
        <f t="shared" ref="T177:AB177" si="93">(SUMIF($M$138:$M$158,"&lt;=35",T$138:T$158)-IF($P$13&gt;$M177,SUMIF($M$138:$M$158,"=0",T$138:T$158))+IF(T174,0,SUM(T162:T166)))*(1+T$174)-T175-T176</f>
        <v>0</v>
      </c>
      <c r="U177" s="233">
        <f t="shared" si="93"/>
        <v>0</v>
      </c>
      <c r="V177" s="233">
        <f t="shared" si="93"/>
        <v>0</v>
      </c>
      <c r="W177" s="233">
        <f t="shared" si="93"/>
        <v>0</v>
      </c>
      <c r="X177" s="233">
        <f t="shared" si="93"/>
        <v>0</v>
      </c>
      <c r="Y177" s="233">
        <f t="shared" si="93"/>
        <v>0</v>
      </c>
      <c r="Z177" s="233">
        <f t="shared" si="93"/>
        <v>0</v>
      </c>
      <c r="AA177" s="233">
        <f t="shared" si="93"/>
        <v>0</v>
      </c>
      <c r="AB177" s="233">
        <f t="shared" si="93"/>
        <v>0</v>
      </c>
      <c r="AC177" s="137"/>
      <c r="AD177" s="89"/>
    </row>
    <row r="178" spans="1:30" s="68" customFormat="1" hidden="1" x14ac:dyDescent="0.2">
      <c r="A178" s="135" t="s">
        <v>636</v>
      </c>
      <c r="B178" s="65"/>
      <c r="C178" s="65" t="s">
        <v>1010</v>
      </c>
      <c r="D178" s="65"/>
      <c r="E178" s="65"/>
      <c r="F178" s="65"/>
      <c r="G178" s="65"/>
      <c r="H178" s="65"/>
      <c r="I178" s="65"/>
      <c r="J178" s="65"/>
      <c r="K178" s="65"/>
      <c r="L178" s="65">
        <v>110</v>
      </c>
      <c r="M178" s="65">
        <v>220</v>
      </c>
      <c r="N178" s="65"/>
      <c r="O178" s="65">
        <f t="shared" si="82"/>
        <v>1</v>
      </c>
      <c r="P178" s="65"/>
      <c r="Q178" s="65"/>
      <c r="R178" s="251"/>
      <c r="S178" s="130">
        <f t="shared" ref="S178:AB178" si="94">(SUMIF($M$138:$M$158,"&gt;=110",S$138:S$158)+IF($P$13&gt;=$M178,SUMIF($M$138:$M$158,"=0",S$138:S$158)))*(1+S$174)</f>
        <v>0</v>
      </c>
      <c r="T178" s="130">
        <f t="shared" si="94"/>
        <v>0</v>
      </c>
      <c r="U178" s="130">
        <f t="shared" si="94"/>
        <v>0</v>
      </c>
      <c r="V178" s="130">
        <f t="shared" si="94"/>
        <v>0</v>
      </c>
      <c r="W178" s="130">
        <f t="shared" si="94"/>
        <v>0</v>
      </c>
      <c r="X178" s="88">
        <f t="shared" si="94"/>
        <v>0</v>
      </c>
      <c r="Y178" s="88">
        <f t="shared" si="94"/>
        <v>0</v>
      </c>
      <c r="Z178" s="88">
        <f t="shared" si="94"/>
        <v>0</v>
      </c>
      <c r="AA178" s="88">
        <f t="shared" si="94"/>
        <v>0</v>
      </c>
      <c r="AB178" s="88">
        <f t="shared" si="94"/>
        <v>0</v>
      </c>
      <c r="AC178" s="137"/>
      <c r="AD178" s="89"/>
    </row>
    <row r="179" spans="1:30" x14ac:dyDescent="0.2">
      <c r="A179" s="181"/>
      <c r="B179" s="182"/>
      <c r="C179" s="182" t="s">
        <v>469</v>
      </c>
      <c r="D179" s="182"/>
      <c r="E179" s="182"/>
      <c r="F179" s="182"/>
      <c r="G179" s="182"/>
      <c r="H179" s="182"/>
      <c r="I179" s="182"/>
      <c r="J179" s="182" t="s">
        <v>403</v>
      </c>
      <c r="K179" s="184">
        <f ca="1">$M$11-1</f>
        <v>0.21999999999999997</v>
      </c>
      <c r="L179" s="184"/>
      <c r="M179" s="182"/>
      <c r="N179" s="182"/>
      <c r="O179" s="182"/>
      <c r="P179" s="231" t="s">
        <v>403</v>
      </c>
      <c r="Q179" s="182"/>
      <c r="R179" s="257"/>
    </row>
    <row r="180" spans="1:30" x14ac:dyDescent="0.2">
      <c r="A180" s="181"/>
      <c r="B180" s="182"/>
      <c r="C180" s="187" t="s">
        <v>667</v>
      </c>
      <c r="D180" s="187"/>
      <c r="E180" s="182"/>
      <c r="F180" s="182"/>
      <c r="G180" s="182"/>
      <c r="H180" s="182"/>
      <c r="I180" s="182"/>
      <c r="J180" s="182"/>
      <c r="K180" s="182"/>
      <c r="L180" s="182"/>
      <c r="M180" s="182"/>
      <c r="N180" s="182"/>
      <c r="O180" s="182"/>
      <c r="P180" s="191" t="str">
        <f ca="1">IF(R$180%,R180/R$180%,"")</f>
        <v/>
      </c>
      <c r="Q180" s="182"/>
      <c r="R180" s="249">
        <f ca="1">ROUND(R173*(1+$K$179),2)</f>
        <v>0</v>
      </c>
      <c r="S180" s="53">
        <f>SUM(R138:R172)</f>
        <v>0</v>
      </c>
      <c r="T180" s="53">
        <f>SUM(X175:AB178)</f>
        <v>0</v>
      </c>
      <c r="U180" s="80">
        <f ca="1">ROUND(S180*(1+$P$12)+T180+SUM(R135:R136)-(R189-R188)/(1+$K$179)-R188/(1+$P$12),2)</f>
        <v>0</v>
      </c>
    </row>
    <row r="181" spans="1:30" x14ac:dyDescent="0.2">
      <c r="A181" s="181"/>
      <c r="B181" s="182"/>
      <c r="C181" s="182" t="s">
        <v>668</v>
      </c>
      <c r="D181" s="182"/>
      <c r="E181" s="182"/>
      <c r="F181" s="182"/>
      <c r="G181" s="182"/>
      <c r="H181" s="182"/>
      <c r="I181" s="182"/>
      <c r="J181" s="182"/>
      <c r="K181" s="182"/>
      <c r="L181" s="182"/>
      <c r="M181" s="182"/>
      <c r="N181" s="182"/>
      <c r="O181" s="182"/>
      <c r="P181" s="191" t="str">
        <f ca="1">IF(SUM(P182:P187),SUM(P182:P187),"")</f>
        <v/>
      </c>
      <c r="Q181" s="194"/>
      <c r="R181" s="254">
        <f ca="1">SUM(R182:R187)</f>
        <v>0</v>
      </c>
      <c r="S181" s="53">
        <f ca="1">ROUND(R181-AC173*(1+K179)-R187,2)</f>
        <v>0</v>
      </c>
      <c r="T181" s="53"/>
      <c r="U181" s="80"/>
    </row>
    <row r="182" spans="1:30" x14ac:dyDescent="0.2">
      <c r="A182" s="190"/>
      <c r="B182" s="182" t="s">
        <v>1184</v>
      </c>
      <c r="C182" s="183" t="s">
        <v>1233</v>
      </c>
      <c r="D182" s="182"/>
      <c r="E182" s="182"/>
      <c r="F182" s="182"/>
      <c r="G182" s="182"/>
      <c r="H182" s="182"/>
      <c r="I182" s="182"/>
      <c r="J182" s="182"/>
      <c r="K182" s="184"/>
      <c r="L182" s="184"/>
      <c r="M182" s="185"/>
      <c r="N182" s="182"/>
      <c r="O182" s="182"/>
      <c r="P182" s="192" t="str">
        <f t="shared" ref="P182:P188" ca="1" si="95">IF(R$180%,R182/R$180%,"")</f>
        <v/>
      </c>
      <c r="Q182" s="182"/>
      <c r="R182" s="249">
        <f ca="1">ROUND(X173*(1+$K$179),2)</f>
        <v>0</v>
      </c>
      <c r="S182" s="53"/>
      <c r="T182" s="53"/>
      <c r="U182" s="80"/>
    </row>
    <row r="183" spans="1:30" x14ac:dyDescent="0.2">
      <c r="A183" s="190"/>
      <c r="B183" s="182" t="s">
        <v>1184</v>
      </c>
      <c r="C183" s="203" t="str">
        <f>"временные здания и сооружения"&amp;IF(ISBLANK($C$12),""," (К=0,8)")</f>
        <v>временные здания и сооружения</v>
      </c>
      <c r="D183" s="182"/>
      <c r="E183" s="182"/>
      <c r="F183" s="182"/>
      <c r="G183" s="182"/>
      <c r="H183" s="182"/>
      <c r="I183" s="182"/>
      <c r="J183" s="182"/>
      <c r="K183" s="184"/>
      <c r="L183" s="184"/>
      <c r="M183" s="185"/>
      <c r="N183" s="182"/>
      <c r="O183" s="182"/>
      <c r="P183" s="192" t="str">
        <f t="shared" ca="1" si="95"/>
        <v/>
      </c>
      <c r="Q183" s="182"/>
      <c r="R183" s="249">
        <f ca="1">ROUND(Y173*(1+$K$179),2)</f>
        <v>0</v>
      </c>
      <c r="S183" s="53"/>
      <c r="T183" s="53"/>
      <c r="U183" s="80"/>
    </row>
    <row r="184" spans="1:30" x14ac:dyDescent="0.2">
      <c r="A184" s="190"/>
      <c r="B184" s="182" t="s">
        <v>1184</v>
      </c>
      <c r="C184" s="203" t="s">
        <v>1333</v>
      </c>
      <c r="D184" s="182"/>
      <c r="E184" s="182"/>
      <c r="F184" s="182"/>
      <c r="G184" s="182"/>
      <c r="H184" s="182"/>
      <c r="I184" s="182"/>
      <c r="J184" s="182"/>
      <c r="K184" s="184"/>
      <c r="L184" s="184"/>
      <c r="M184" s="185"/>
      <c r="N184" s="182"/>
      <c r="O184" s="182"/>
      <c r="P184" s="192" t="str">
        <f t="shared" ca="1" si="95"/>
        <v/>
      </c>
      <c r="Q184" s="182"/>
      <c r="R184" s="249">
        <f ca="1">ROUND(Z173*(1+$K$179),2)</f>
        <v>0</v>
      </c>
      <c r="S184" s="53"/>
      <c r="T184" s="53"/>
      <c r="U184" s="80"/>
    </row>
    <row r="185" spans="1:30" x14ac:dyDescent="0.2">
      <c r="A185" s="190"/>
      <c r="B185" s="182" t="s">
        <v>1184</v>
      </c>
      <c r="C185" s="364" t="s">
        <v>1234</v>
      </c>
      <c r="D185" s="182"/>
      <c r="E185" s="182"/>
      <c r="F185" s="182"/>
      <c r="G185" s="182"/>
      <c r="H185" s="182"/>
      <c r="I185" s="182"/>
      <c r="J185" s="182"/>
      <c r="K185" s="184"/>
      <c r="L185" s="184"/>
      <c r="M185" s="185"/>
      <c r="N185" s="182"/>
      <c r="O185" s="182"/>
      <c r="P185" s="192" t="str">
        <f t="shared" ca="1" si="95"/>
        <v/>
      </c>
      <c r="Q185" s="182"/>
      <c r="R185" s="249">
        <f ca="1">ROUND(AA173*(1+$K$179),2)</f>
        <v>0</v>
      </c>
      <c r="S185" s="53"/>
      <c r="T185" s="53"/>
      <c r="U185" s="80"/>
    </row>
    <row r="186" spans="1:30" x14ac:dyDescent="0.2">
      <c r="A186" s="190"/>
      <c r="B186" s="182" t="s">
        <v>1184</v>
      </c>
      <c r="C186" s="203" t="s">
        <v>1031</v>
      </c>
      <c r="D186" s="182"/>
      <c r="E186" s="182"/>
      <c r="F186" s="182"/>
      <c r="G186" s="182"/>
      <c r="H186" s="182"/>
      <c r="I186" s="182"/>
      <c r="J186" s="182"/>
      <c r="K186" s="184"/>
      <c r="L186" s="184"/>
      <c r="M186" s="185"/>
      <c r="N186" s="182"/>
      <c r="O186" s="182"/>
      <c r="P186" s="192" t="str">
        <f t="shared" ca="1" si="95"/>
        <v/>
      </c>
      <c r="Q186" s="182"/>
      <c r="R186" s="249">
        <f ca="1">ROUND(AB173*(1+$K$179),2)</f>
        <v>0</v>
      </c>
      <c r="S186" s="60"/>
      <c r="T186" s="53"/>
      <c r="U186" s="80"/>
    </row>
    <row r="187" spans="1:30" s="60" customFormat="1" ht="12.75" customHeight="1" x14ac:dyDescent="0.2">
      <c r="A187" s="181"/>
      <c r="B187" s="182" t="s">
        <v>1184</v>
      </c>
      <c r="C187" s="203" t="s">
        <v>1034</v>
      </c>
      <c r="D187" s="182"/>
      <c r="E187" s="182"/>
      <c r="F187" s="182"/>
      <c r="G187" s="182"/>
      <c r="H187" s="182"/>
      <c r="I187" s="182"/>
      <c r="J187" s="182"/>
      <c r="K187" s="184"/>
      <c r="L187" s="184"/>
      <c r="M187" s="185"/>
      <c r="N187" s="182"/>
      <c r="O187" s="182"/>
      <c r="P187" s="192" t="str">
        <f ca="1">IF(R$180%,R187/R$180%,"")</f>
        <v/>
      </c>
      <c r="Q187" s="182"/>
      <c r="R187" s="249">
        <f ca="1">ROUND(R180*$P$12,2)</f>
        <v>0</v>
      </c>
      <c r="S187" s="212">
        <f ca="1">IF(R189-R187-R188,R187/(R189-R187-R188),0)</f>
        <v>0</v>
      </c>
      <c r="T187" s="53"/>
      <c r="U187" s="80"/>
      <c r="V187" s="80"/>
      <c r="W187" s="80"/>
      <c r="X187" s="89"/>
      <c r="Y187" s="89"/>
      <c r="Z187" s="89"/>
      <c r="AA187" s="89"/>
      <c r="AB187" s="89"/>
      <c r="AC187" s="137"/>
      <c r="AD187" s="89"/>
    </row>
    <row r="188" spans="1:30" s="60" customFormat="1" ht="12.75" customHeight="1" x14ac:dyDescent="0.2">
      <c r="A188" s="190"/>
      <c r="B188" s="182"/>
      <c r="C188" s="194" t="s">
        <v>1260</v>
      </c>
      <c r="D188" s="182"/>
      <c r="E188" s="182"/>
      <c r="F188" s="182"/>
      <c r="G188" s="182"/>
      <c r="H188" s="182"/>
      <c r="I188" s="182"/>
      <c r="J188" s="182"/>
      <c r="K188" s="184"/>
      <c r="L188" s="184"/>
      <c r="M188" s="185"/>
      <c r="N188" s="182"/>
      <c r="O188" s="182"/>
      <c r="P188" s="191" t="str">
        <f t="shared" ca="1" si="95"/>
        <v/>
      </c>
      <c r="Q188" s="182"/>
      <c r="R188" s="249">
        <f>ROUND(SUM(R135:R136)*(1+$P$12),2)</f>
        <v>0</v>
      </c>
      <c r="S188" s="53"/>
      <c r="T188" s="53"/>
      <c r="U188" s="80"/>
      <c r="V188" s="80"/>
      <c r="W188" s="80"/>
      <c r="X188" s="89"/>
      <c r="Y188" s="89"/>
      <c r="Z188" s="89"/>
      <c r="AA188" s="89"/>
      <c r="AB188" s="89"/>
      <c r="AC188" s="137"/>
      <c r="AD188" s="89"/>
    </row>
    <row r="189" spans="1:30" x14ac:dyDescent="0.2">
      <c r="A189" s="181"/>
      <c r="B189" s="182"/>
      <c r="C189" s="186" t="s">
        <v>1335</v>
      </c>
      <c r="D189" s="186"/>
      <c r="E189" s="182"/>
      <c r="F189" s="182"/>
      <c r="G189" s="182"/>
      <c r="H189" s="182"/>
      <c r="I189" s="182"/>
      <c r="J189" s="182"/>
      <c r="K189" s="182"/>
      <c r="L189" s="182"/>
      <c r="M189" s="182"/>
      <c r="N189" s="182"/>
      <c r="O189" s="182"/>
      <c r="P189" s="182"/>
      <c r="Q189" s="182"/>
      <c r="R189" s="255">
        <f ca="1">R180+R181+R188</f>
        <v>0</v>
      </c>
      <c r="S189" s="53">
        <f ca="1">ROUND(SUM(S175:W178)*(1+K179)+R180*$P$12+R188-R189,2)</f>
        <v>0</v>
      </c>
      <c r="T189" s="53"/>
      <c r="U189" s="80"/>
    </row>
    <row r="190" spans="1:30" x14ac:dyDescent="0.2">
      <c r="C190" s="2" t="s">
        <v>470</v>
      </c>
      <c r="P190" s="124" t="s">
        <v>403</v>
      </c>
      <c r="R190" s="256"/>
      <c r="S190" s="46"/>
      <c r="T190" s="46"/>
    </row>
    <row r="191" spans="1:30" x14ac:dyDescent="0.2">
      <c r="C191" s="2" t="s">
        <v>1037</v>
      </c>
      <c r="K191" s="18"/>
      <c r="N191" s="60"/>
      <c r="P191" s="191" t="str">
        <f ca="1">IF(SUM(P192:P195),SUM(P192:P195),"")</f>
        <v/>
      </c>
      <c r="R191" s="249">
        <f ca="1">SUM(R192:R195)</f>
        <v>0</v>
      </c>
      <c r="S191" s="53">
        <f ca="1">ROUND(R191-S173*(1+$K$179)*(1+$S$187),2)</f>
        <v>0</v>
      </c>
    </row>
    <row r="192" spans="1:30" x14ac:dyDescent="0.2">
      <c r="C192" s="2" t="s">
        <v>984</v>
      </c>
      <c r="K192" s="18"/>
      <c r="N192" s="60"/>
      <c r="P192" s="192" t="str">
        <f t="shared" ref="P192:P199" ca="1" si="96">IF(R$189,R192/R$189%,"")</f>
        <v/>
      </c>
      <c r="R192" s="249">
        <f ca="1">S192</f>
        <v>0</v>
      </c>
      <c r="S192" s="62">
        <f ca="1">ROUND(S175*(1+$K$179)*(1+$S$187),2)</f>
        <v>0</v>
      </c>
      <c r="T192" s="62">
        <f t="shared" ref="T192:W192" ca="1" si="97">ROUND(T175*(1+$K$179)*(1+$S$187),2)</f>
        <v>0</v>
      </c>
      <c r="U192" s="84">
        <f t="shared" ca="1" si="97"/>
        <v>0</v>
      </c>
      <c r="V192" s="84">
        <f t="shared" ca="1" si="97"/>
        <v>0</v>
      </c>
      <c r="W192" s="84">
        <f t="shared" ca="1" si="97"/>
        <v>0</v>
      </c>
    </row>
    <row r="193" spans="1:29" x14ac:dyDescent="0.2">
      <c r="C193" s="2" t="s">
        <v>985</v>
      </c>
      <c r="K193" s="18"/>
      <c r="N193" s="60"/>
      <c r="P193" s="192" t="str">
        <f t="shared" ca="1" si="96"/>
        <v/>
      </c>
      <c r="R193" s="249">
        <f t="shared" ref="R193:R195" ca="1" si="98">S193</f>
        <v>0</v>
      </c>
      <c r="S193" s="62">
        <f t="shared" ref="S193:W193" ca="1" si="99">ROUND(S176*(1+$K$179)*(1+$S$187),2)</f>
        <v>0</v>
      </c>
      <c r="T193" s="62">
        <f t="shared" ca="1" si="99"/>
        <v>0</v>
      </c>
      <c r="U193" s="84">
        <f t="shared" ca="1" si="99"/>
        <v>0</v>
      </c>
      <c r="V193" s="84">
        <f t="shared" ca="1" si="99"/>
        <v>0</v>
      </c>
      <c r="W193" s="84">
        <f t="shared" ca="1" si="99"/>
        <v>0</v>
      </c>
    </row>
    <row r="194" spans="1:29" x14ac:dyDescent="0.2">
      <c r="C194" s="2" t="s">
        <v>986</v>
      </c>
      <c r="K194" s="18"/>
      <c r="N194" s="60"/>
      <c r="P194" s="192" t="str">
        <f t="shared" ca="1" si="96"/>
        <v/>
      </c>
      <c r="R194" s="249">
        <f t="shared" ca="1" si="98"/>
        <v>0</v>
      </c>
      <c r="S194" s="62">
        <f t="shared" ref="S194:W194" ca="1" si="100">ROUND(S177*(1+$K$179)*(1+$S$187),2)</f>
        <v>0</v>
      </c>
      <c r="T194" s="62">
        <f t="shared" ca="1" si="100"/>
        <v>0</v>
      </c>
      <c r="U194" s="84">
        <f t="shared" ca="1" si="100"/>
        <v>0</v>
      </c>
      <c r="V194" s="84">
        <f t="shared" ca="1" si="100"/>
        <v>0</v>
      </c>
      <c r="W194" s="84">
        <f t="shared" ca="1" si="100"/>
        <v>0</v>
      </c>
    </row>
    <row r="195" spans="1:29" x14ac:dyDescent="0.2">
      <c r="C195" s="2" t="s">
        <v>987</v>
      </c>
      <c r="K195" s="18"/>
      <c r="N195" s="60"/>
      <c r="P195" s="192" t="str">
        <f t="shared" ca="1" si="96"/>
        <v/>
      </c>
      <c r="R195" s="249">
        <f t="shared" ca="1" si="98"/>
        <v>0</v>
      </c>
      <c r="S195" s="62">
        <f t="shared" ref="S195:W195" ca="1" si="101">ROUND(S178*(1+$K$179)*(1+$S$187),2)</f>
        <v>0</v>
      </c>
      <c r="T195" s="62">
        <f t="shared" ca="1" si="101"/>
        <v>0</v>
      </c>
      <c r="U195" s="84">
        <f t="shared" ca="1" si="101"/>
        <v>0</v>
      </c>
      <c r="V195" s="84">
        <f t="shared" ca="1" si="101"/>
        <v>0</v>
      </c>
      <c r="W195" s="84">
        <f t="shared" ca="1" si="101"/>
        <v>0</v>
      </c>
    </row>
    <row r="196" spans="1:29" x14ac:dyDescent="0.2">
      <c r="C196" s="2" t="s">
        <v>1039</v>
      </c>
      <c r="K196" s="18"/>
      <c r="N196" s="60"/>
      <c r="P196" s="192" t="str">
        <f t="shared" ca="1" si="96"/>
        <v/>
      </c>
      <c r="R196" s="249">
        <f ca="1">ROUND(T173*(1+$K$179)*(1+$S$187),2)</f>
        <v>0</v>
      </c>
      <c r="S196" s="53">
        <f ca="1">ROUND(R196-SUM(T192:T195),2)</f>
        <v>0</v>
      </c>
      <c r="T196" s="60"/>
    </row>
    <row r="197" spans="1:29" x14ac:dyDescent="0.2">
      <c r="C197" s="2" t="s">
        <v>1040</v>
      </c>
      <c r="K197" s="18"/>
      <c r="N197" s="60"/>
      <c r="P197" s="192" t="str">
        <f t="shared" ca="1" si="96"/>
        <v/>
      </c>
      <c r="R197" s="249">
        <f ca="1">ROUND(U173*(1+$K$179)*(1+$S$187),2)</f>
        <v>0</v>
      </c>
      <c r="S197" s="53">
        <f ca="1">ROUND(R197-SUM(U192:U195),2)</f>
        <v>0</v>
      </c>
    </row>
    <row r="198" spans="1:29" x14ac:dyDescent="0.2">
      <c r="C198" s="2" t="s">
        <v>1098</v>
      </c>
      <c r="K198" s="18"/>
      <c r="P198" s="192" t="str">
        <f t="shared" ca="1" si="96"/>
        <v/>
      </c>
      <c r="R198" s="249">
        <f ca="1">ROUND(V173*(1+$K$179)*(1+$S$187),2)</f>
        <v>0</v>
      </c>
      <c r="S198" s="53">
        <f ca="1">ROUND(R198-SUM(V192:V195),2)</f>
        <v>0</v>
      </c>
    </row>
    <row r="199" spans="1:29" x14ac:dyDescent="0.2">
      <c r="C199" s="60" t="s">
        <v>1338</v>
      </c>
      <c r="K199" s="18"/>
      <c r="N199" s="60"/>
      <c r="P199" s="192" t="str">
        <f t="shared" ca="1" si="96"/>
        <v/>
      </c>
      <c r="R199" s="249">
        <f ca="1">R189-(R191+R196+R197+R198)</f>
        <v>0</v>
      </c>
      <c r="S199" s="53">
        <f ca="1">ROUND(R199-SUM(W192:W195)-R188,2)</f>
        <v>0</v>
      </c>
    </row>
    <row r="200" spans="1:29" x14ac:dyDescent="0.2">
      <c r="K200" s="18"/>
      <c r="P200" s="193" t="str">
        <f ca="1">IF(ISNUMBER(P191+P196+P197+P198+P199),P191+P196+P197+P198+P199,"")</f>
        <v/>
      </c>
      <c r="R200" s="85"/>
    </row>
    <row r="201" spans="1:29" x14ac:dyDescent="0.2">
      <c r="K201" s="18"/>
      <c r="AC201" s="89"/>
    </row>
    <row r="202" spans="1:29" ht="12.75" customHeight="1" x14ac:dyDescent="0.2">
      <c r="A202" s="586" t="s">
        <v>325</v>
      </c>
      <c r="B202" s="590" t="s">
        <v>427</v>
      </c>
      <c r="C202" s="588" t="s">
        <v>324</v>
      </c>
      <c r="D202" s="586" t="s">
        <v>1104</v>
      </c>
      <c r="E202" s="599" t="s">
        <v>326</v>
      </c>
      <c r="F202" s="599"/>
      <c r="G202" s="599"/>
      <c r="H202" s="599"/>
      <c r="I202" s="599"/>
      <c r="J202" s="599" t="s">
        <v>328</v>
      </c>
      <c r="K202" s="599"/>
      <c r="L202" s="21"/>
      <c r="M202" s="21"/>
      <c r="N202" s="599" t="s">
        <v>410</v>
      </c>
      <c r="O202" s="599"/>
      <c r="P202" s="599"/>
      <c r="Q202" s="586" t="s">
        <v>406</v>
      </c>
      <c r="R202" s="590" t="s">
        <v>407</v>
      </c>
      <c r="S202" s="60"/>
      <c r="T202" s="60"/>
    </row>
    <row r="203" spans="1:29" ht="35.25" customHeight="1" x14ac:dyDescent="0.2">
      <c r="A203" s="587"/>
      <c r="B203" s="590"/>
      <c r="C203" s="588"/>
      <c r="D203" s="587"/>
      <c r="E203" s="5"/>
      <c r="F203" s="5"/>
      <c r="G203" s="77" t="s">
        <v>405</v>
      </c>
      <c r="H203" s="77"/>
      <c r="I203" s="77"/>
      <c r="J203" s="77" t="s">
        <v>329</v>
      </c>
      <c r="K203" s="77" t="s">
        <v>306</v>
      </c>
      <c r="L203" s="115" t="s">
        <v>1261</v>
      </c>
      <c r="M203" s="77" t="s">
        <v>433</v>
      </c>
      <c r="N203" s="77" t="s">
        <v>408</v>
      </c>
      <c r="O203" s="78" t="s">
        <v>401</v>
      </c>
      <c r="P203" s="77" t="s">
        <v>409</v>
      </c>
      <c r="Q203" s="587"/>
      <c r="R203" s="590"/>
      <c r="S203" s="4" t="s">
        <v>1293</v>
      </c>
      <c r="T203" s="4" t="s">
        <v>1280</v>
      </c>
      <c r="U203" s="108" t="s">
        <v>1294</v>
      </c>
      <c r="V203" s="110"/>
      <c r="W203" s="110"/>
      <c r="X203" s="111"/>
      <c r="Y203" s="111"/>
      <c r="AA203" s="111"/>
    </row>
    <row r="204" spans="1:29" x14ac:dyDescent="0.2">
      <c r="A204" s="114"/>
      <c r="B204" s="1"/>
      <c r="C204" s="1"/>
      <c r="D204" s="1" t="s">
        <v>1105</v>
      </c>
      <c r="E204" s="1"/>
      <c r="F204" s="1"/>
      <c r="G204" s="1" t="s">
        <v>402</v>
      </c>
      <c r="H204" s="1"/>
      <c r="I204" s="1"/>
      <c r="J204" s="1"/>
      <c r="K204" s="1"/>
      <c r="L204" s="1"/>
      <c r="M204" s="1" t="s">
        <v>434</v>
      </c>
      <c r="N204" s="1"/>
      <c r="O204" s="1"/>
      <c r="P204" s="1"/>
      <c r="Q204" s="10"/>
      <c r="R204" s="249"/>
      <c r="S204" s="208">
        <f>IF(M293&lt;=35,0,1)</f>
        <v>1</v>
      </c>
      <c r="T204" s="208">
        <f>IF(SUM(R216:R220,AD255:AD262),1,0)</f>
        <v>1</v>
      </c>
      <c r="U204" s="208">
        <f>IF(SUM(R213:R214,R219:R220),0,IF(SUM(R210:R211,R216:R217),1,IFERROR(VLOOKUP(G225,Таблица!B700:D701,3),2)-1))</f>
        <v>1</v>
      </c>
      <c r="V204" s="79" t="str">
        <f ca="1">OFFSET(Таблица!$B$703,1+$U$204*4+$T$204*2+$S$204,0,1,1)</f>
        <v>Открытые ПС элегазовые 110 кВ и выше</v>
      </c>
      <c r="W204" s="86"/>
    </row>
    <row r="205" spans="1:29" x14ac:dyDescent="0.2">
      <c r="A205" s="114"/>
      <c r="B205" s="1"/>
      <c r="C205" s="6" t="s">
        <v>927</v>
      </c>
      <c r="D205" s="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0"/>
      <c r="R205" s="249"/>
      <c r="S205" s="209">
        <v>1</v>
      </c>
      <c r="T205" s="209">
        <v>2</v>
      </c>
      <c r="U205" s="210">
        <v>3</v>
      </c>
      <c r="V205" s="210">
        <v>4</v>
      </c>
      <c r="W205" s="210">
        <v>5</v>
      </c>
      <c r="X205" s="205">
        <v>1</v>
      </c>
      <c r="Y205" s="205">
        <v>2</v>
      </c>
      <c r="Z205" s="205">
        <v>3</v>
      </c>
      <c r="AA205" s="205">
        <v>4</v>
      </c>
      <c r="AB205" s="205">
        <v>5</v>
      </c>
    </row>
    <row r="206" spans="1:29" x14ac:dyDescent="0.2">
      <c r="A206" s="114"/>
      <c r="B206" s="1"/>
      <c r="C206" s="15" t="s">
        <v>948</v>
      </c>
      <c r="D206" s="15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249">
        <v>0</v>
      </c>
      <c r="S206" s="207">
        <f ca="1">OFFSET(Таблица!$B$703,1+$U$204*4+$T$204*2+$S$204,4+S205,1,1)</f>
        <v>19</v>
      </c>
      <c r="T206" s="207">
        <f ca="1">OFFSET(Таблица!$B$703,1+$U$204*4+$T$204*2+$S$204,4+T205,1,1)</f>
        <v>60</v>
      </c>
      <c r="U206" s="207">
        <f ca="1">OFFSET(Таблица!$B$703,1+$U$204*4+$T$204*2+$S$204,4+U205,1,1)</f>
        <v>4</v>
      </c>
      <c r="V206" s="207">
        <f ca="1">OFFSET(Таблица!$B$703,1+$U$204*4+$T$204*2+$S$204,4+V205,1,1)</f>
        <v>8</v>
      </c>
      <c r="W206" s="207">
        <f ca="1">OFFSET(Таблица!$B$703,1+$U$204*4+$T$204*2+$S$204,4+W205,1,1)</f>
        <v>9</v>
      </c>
      <c r="X206" s="215">
        <f ca="1">OFFSET(Таблица!$R$35,X205+$S$204*8,0,1,1)</f>
        <v>0.09</v>
      </c>
      <c r="Y206" s="215">
        <f ca="1">OFFSET(Таблица!$R$35,Y205+$S$204*8,0,1,1)</f>
        <v>3.9E-2</v>
      </c>
      <c r="Z206" s="215">
        <f ca="1">OFFSET(Таблица!$R$35,Z205+$S$204*8,0,1,1)</f>
        <v>8.5000000000000006E-2</v>
      </c>
      <c r="AA206" s="215">
        <f ca="1">OFFSET(Таблица!$R$35,AA205+$S$204*8,0,1,1)</f>
        <v>3.1800000000000002E-2</v>
      </c>
      <c r="AB206" s="215">
        <f ca="1">OFFSET(Таблица!$R$35,AB205+$S$204*8,0,1,1)</f>
        <v>8.5000000000000006E-2</v>
      </c>
    </row>
    <row r="207" spans="1:29" x14ac:dyDescent="0.2">
      <c r="A207" s="114" t="str">
        <f>IF(C207="","",1)</f>
        <v/>
      </c>
      <c r="B207" s="56" t="s">
        <v>1354</v>
      </c>
      <c r="C207" s="48"/>
      <c r="D207" s="48"/>
      <c r="E207" s="56"/>
      <c r="F207" s="56"/>
      <c r="G207" s="50"/>
      <c r="H207" s="56"/>
      <c r="I207" s="56"/>
      <c r="J207" s="56" t="str">
        <f>IF($C207="","","шт.")</f>
        <v/>
      </c>
      <c r="K207" s="64"/>
      <c r="L207" s="56">
        <v>0</v>
      </c>
      <c r="M207" s="56" t="s">
        <v>1354</v>
      </c>
      <c r="N207" s="56" t="str">
        <f>IF($K207="","","т.р./га")</f>
        <v/>
      </c>
      <c r="O207" s="1">
        <f t="shared" ref="O207" si="102">IF(E207="",1,E207)*IF(F207="",1,F207)*IF(G207="",1,G207)*IF(H207="",1,H207)*IF(I207="",1,I207)</f>
        <v>1</v>
      </c>
      <c r="P207" s="42"/>
      <c r="Q207" s="11" t="str">
        <f>IF($C207&lt;&gt;"","V","")</f>
        <v/>
      </c>
      <c r="R207" s="249">
        <f>IF(C207="",0,IFERROR(K207*L207/10000*P207,0))</f>
        <v>0</v>
      </c>
      <c r="S207" s="62"/>
      <c r="T207" s="62"/>
      <c r="U207" s="84"/>
      <c r="V207" s="84"/>
      <c r="W207" s="84">
        <f t="shared" ref="W207:W208" si="103">R207</f>
        <v>0</v>
      </c>
      <c r="X207" s="83">
        <v>0</v>
      </c>
      <c r="Y207" s="83">
        <v>0</v>
      </c>
      <c r="Z207" s="83">
        <v>0</v>
      </c>
      <c r="AA207" s="83">
        <v>0</v>
      </c>
      <c r="AB207" s="83">
        <v>0</v>
      </c>
    </row>
    <row r="208" spans="1:29" x14ac:dyDescent="0.2">
      <c r="A208" s="114" t="str">
        <f>IF(C208="","",MAX(A$207:A207)+1)</f>
        <v/>
      </c>
      <c r="B208" s="56" t="s">
        <v>1354</v>
      </c>
      <c r="C208" s="48"/>
      <c r="D208" s="48"/>
      <c r="E208" s="56"/>
      <c r="F208" s="56"/>
      <c r="G208" s="50"/>
      <c r="H208" s="56"/>
      <c r="I208" s="56"/>
      <c r="J208" s="56" t="str">
        <f>IF($C208="","","шт.")</f>
        <v/>
      </c>
      <c r="K208" s="64"/>
      <c r="L208" s="56">
        <v>0</v>
      </c>
      <c r="M208" s="56" t="s">
        <v>1354</v>
      </c>
      <c r="N208" s="56" t="str">
        <f>IF($K208="","","т.р./га")</f>
        <v/>
      </c>
      <c r="O208" s="1">
        <f t="shared" ref="O208" si="104">IF(E208="",1,E208)*IF(F208="",1,F208)*IF(G208="",1,G208)*IF(H208="",1,H208)*IF(I208="",1,I208)</f>
        <v>1</v>
      </c>
      <c r="P208" s="42"/>
      <c r="Q208" s="11" t="str">
        <f>IF($C208&lt;&gt;"","V","")</f>
        <v/>
      </c>
      <c r="R208" s="249">
        <f>IF(C208="",0,IFERROR(K208*L208/10000*P208,0))</f>
        <v>0</v>
      </c>
      <c r="S208" s="62"/>
      <c r="T208" s="62"/>
      <c r="U208" s="84"/>
      <c r="V208" s="84"/>
      <c r="W208" s="84">
        <f t="shared" si="103"/>
        <v>0</v>
      </c>
      <c r="X208" s="83">
        <v>0</v>
      </c>
      <c r="Y208" s="83">
        <v>0</v>
      </c>
      <c r="Z208" s="83">
        <v>0</v>
      </c>
      <c r="AA208" s="83">
        <v>0</v>
      </c>
      <c r="AB208" s="83">
        <v>0</v>
      </c>
    </row>
    <row r="209" spans="1:30" x14ac:dyDescent="0.2">
      <c r="A209" s="114"/>
      <c r="B209" s="1"/>
      <c r="C209" s="15" t="s">
        <v>1299</v>
      </c>
      <c r="D209" s="15"/>
      <c r="E209" s="1"/>
      <c r="F209" s="1"/>
      <c r="G209" s="1"/>
      <c r="H209" s="1"/>
      <c r="I209" s="1"/>
      <c r="J209" s="1"/>
      <c r="K209" s="136"/>
      <c r="L209" s="1"/>
      <c r="M209" s="1"/>
      <c r="N209" s="1"/>
      <c r="O209" s="1"/>
      <c r="P209" s="1"/>
      <c r="Q209" s="1"/>
      <c r="R209" s="249">
        <v>0</v>
      </c>
      <c r="S209" s="85"/>
      <c r="T209" s="85"/>
      <c r="U209" s="86"/>
      <c r="V209" s="86"/>
      <c r="W209" s="86"/>
    </row>
    <row r="210" spans="1:30" x14ac:dyDescent="0.2">
      <c r="A210" s="114" t="str">
        <f>IF(C210="","",MAX(A$207:A209)+1)</f>
        <v/>
      </c>
      <c r="B210" s="1" t="str">
        <f>IFERROR(VLOOKUP($C210,Таблица!$B$367:$E$385,2,FALSE),"")</f>
        <v/>
      </c>
      <c r="C210" s="31"/>
      <c r="D210" s="31"/>
      <c r="E210" s="1"/>
      <c r="F210" s="1"/>
      <c r="G210" s="50"/>
      <c r="H210" s="1"/>
      <c r="I210" s="1"/>
      <c r="J210" s="56" t="str">
        <f>IF($C210="","","шт")</f>
        <v/>
      </c>
      <c r="K210" s="64"/>
      <c r="L210" s="1">
        <f>IFERROR(VLOOKUP($C210,Таблица!$B$367:$K$385,3,FALSE),0)</f>
        <v>0</v>
      </c>
      <c r="M210" s="1" t="str">
        <f>IFERROR(VLOOKUP($C210,Таблица!$B$367:$F$385,5,FALSE),"")</f>
        <v/>
      </c>
      <c r="N210" s="1" t="str">
        <f>IFERROR(VLOOKUP($C210,Таблица!$B$367:$E$385,4,FALSE),"")</f>
        <v/>
      </c>
      <c r="O210" s="1">
        <f>IF(E210="",1,E210)*IF(F210="",1,F210)*IF(G210="",1,G210)*IF(H210="",1,H210)*IF(I210="",1,I210)</f>
        <v>1</v>
      </c>
      <c r="P210" s="42"/>
      <c r="Q210" s="1" t="str">
        <f>IF(OR(AND(ISERROR(VLOOKUP($C210,Таблица!$B$367:$E$385,2,FALSE)),$C210&lt;&gt;""),P210&lt;&gt;""),"√","")</f>
        <v/>
      </c>
      <c r="R210" s="254">
        <f>IFERROR(ROUND(K210*IF(P210="",N210*O210,P210*O210),2),0)</f>
        <v>0</v>
      </c>
      <c r="S210" s="62">
        <f t="shared" ref="S210:W211" ca="1" si="105">ROUND(N($R210)/(1+$AD210)*(1+$AD210-3%)*S$206%*(1+$K$224),2)</f>
        <v>0</v>
      </c>
      <c r="T210" s="62">
        <f t="shared" ca="1" si="105"/>
        <v>0</v>
      </c>
      <c r="U210" s="84">
        <f t="shared" ca="1" si="105"/>
        <v>0</v>
      </c>
      <c r="V210" s="84">
        <f t="shared" ca="1" si="105"/>
        <v>0</v>
      </c>
      <c r="W210" s="84">
        <f t="shared" ca="1" si="105"/>
        <v>0</v>
      </c>
      <c r="X210" s="88">
        <f t="shared" ref="X210:AB211" ca="1" si="106">IF($R210="",0,ROUND($R210*X$206/(1+$AD210)*(1+$K$224),2))</f>
        <v>0</v>
      </c>
      <c r="Y210" s="88">
        <f t="shared" ca="1" si="106"/>
        <v>0</v>
      </c>
      <c r="Z210" s="88">
        <f t="shared" ca="1" si="106"/>
        <v>0</v>
      </c>
      <c r="AA210" s="88">
        <f t="shared" ca="1" si="106"/>
        <v>0</v>
      </c>
      <c r="AB210" s="88">
        <f t="shared" ca="1" si="106"/>
        <v>0</v>
      </c>
      <c r="AC210" s="237">
        <f>ROUND(IFERROR(R210/(1+AD210)*AD210*(1+$K$224),0),2)</f>
        <v>0</v>
      </c>
      <c r="AD210" s="89">
        <f>IF($M210&gt;=110,SUM(Таблица!$R$44:'Таблица'!R$48),SUM(Таблица!$R$36:'Таблица'!R$40))+0.03</f>
        <v>0.36080000000000001</v>
      </c>
    </row>
    <row r="211" spans="1:30" x14ac:dyDescent="0.2">
      <c r="A211" s="114" t="str">
        <f>IF(C211="","",MAX(A$207:A210)+1)</f>
        <v/>
      </c>
      <c r="B211" s="56" t="str">
        <f>IFERROR(VLOOKUP($C211,Таблица!$B$367:$E$385,2,FALSE),"")</f>
        <v/>
      </c>
      <c r="C211" s="31"/>
      <c r="D211" s="31"/>
      <c r="E211" s="1"/>
      <c r="F211" s="1"/>
      <c r="G211" s="32"/>
      <c r="H211" s="1"/>
      <c r="I211" s="1"/>
      <c r="J211" s="45" t="str">
        <f t="shared" ref="J211:J214" si="107">IF($C211="","","шт")</f>
        <v/>
      </c>
      <c r="K211" s="64"/>
      <c r="L211" s="1">
        <f>IFERROR(VLOOKUP($C211,Таблица!$B$367:$K$385,3,FALSE),0)</f>
        <v>0</v>
      </c>
      <c r="M211" s="1" t="str">
        <f>IFERROR(VLOOKUP($C211,Таблица!$B$367:$F$385,5,FALSE),"")</f>
        <v/>
      </c>
      <c r="N211" s="1" t="str">
        <f>IFERROR(VLOOKUP($C211,Таблица!$B$367:$E$385,4,FALSE),"")</f>
        <v/>
      </c>
      <c r="O211" s="1">
        <v>1</v>
      </c>
      <c r="P211" s="42"/>
      <c r="Q211" s="1" t="str">
        <f>IF(OR(AND(ISERROR(VLOOKUP($C211,Таблица!$B$367:$E$385,2,FALSE)),$C211&lt;&gt;""),P211&lt;&gt;""),"√","")</f>
        <v/>
      </c>
      <c r="R211" s="254">
        <f>IFERROR(ROUND(K211*IF(P211="",N211*O211,P211*O211),2),0)</f>
        <v>0</v>
      </c>
      <c r="S211" s="62">
        <f t="shared" ca="1" si="105"/>
        <v>0</v>
      </c>
      <c r="T211" s="62">
        <f t="shared" ca="1" si="105"/>
        <v>0</v>
      </c>
      <c r="U211" s="84">
        <f t="shared" ca="1" si="105"/>
        <v>0</v>
      </c>
      <c r="V211" s="84">
        <f t="shared" ca="1" si="105"/>
        <v>0</v>
      </c>
      <c r="W211" s="84">
        <f t="shared" ca="1" si="105"/>
        <v>0</v>
      </c>
      <c r="X211" s="88">
        <f t="shared" ca="1" si="106"/>
        <v>0</v>
      </c>
      <c r="Y211" s="88">
        <f t="shared" ca="1" si="106"/>
        <v>0</v>
      </c>
      <c r="Z211" s="88">
        <f t="shared" ca="1" si="106"/>
        <v>0</v>
      </c>
      <c r="AA211" s="88">
        <f t="shared" ca="1" si="106"/>
        <v>0</v>
      </c>
      <c r="AB211" s="88">
        <f t="shared" ca="1" si="106"/>
        <v>0</v>
      </c>
      <c r="AC211" s="237">
        <f>ROUND(IFERROR(R211/(1+AD211)*AD211*(1+$K$224),0),2)</f>
        <v>0</v>
      </c>
      <c r="AD211" s="89">
        <f>IF($M211&gt;=110,SUM(Таблица!$R$44:'Таблица'!R$48),SUM(Таблица!$R$36:'Таблица'!R$40))+0.03</f>
        <v>0.36080000000000001</v>
      </c>
    </row>
    <row r="212" spans="1:30" s="60" customFormat="1" x14ac:dyDescent="0.2">
      <c r="A212" s="202"/>
      <c r="B212" s="56"/>
      <c r="C212" s="15" t="s">
        <v>1300</v>
      </c>
      <c r="D212" s="15"/>
      <c r="E212" s="56"/>
      <c r="F212" s="56"/>
      <c r="G212" s="56"/>
      <c r="H212" s="56"/>
      <c r="I212" s="56"/>
      <c r="J212" s="56"/>
      <c r="K212" s="136"/>
      <c r="L212" s="56"/>
      <c r="M212" s="56"/>
      <c r="N212" s="56"/>
      <c r="O212" s="56"/>
      <c r="P212" s="56"/>
      <c r="Q212" s="56"/>
      <c r="R212" s="249">
        <v>0</v>
      </c>
      <c r="S212" s="85"/>
      <c r="T212" s="85"/>
      <c r="U212" s="86"/>
      <c r="V212" s="86"/>
      <c r="W212" s="86"/>
      <c r="X212" s="89"/>
      <c r="Y212" s="89"/>
      <c r="Z212" s="89"/>
      <c r="AA212" s="89"/>
      <c r="AB212" s="89"/>
      <c r="AC212" s="237"/>
      <c r="AD212" s="137"/>
    </row>
    <row r="213" spans="1:30" x14ac:dyDescent="0.2">
      <c r="A213" s="114" t="str">
        <f>IF(C213="","",MAX(A$207:A211)+1)</f>
        <v/>
      </c>
      <c r="B213" s="56" t="str">
        <f>IFERROR(VLOOKUP($C213,Таблица!$B$367:$E$385,2,FALSE),"")</f>
        <v/>
      </c>
      <c r="C213" s="31"/>
      <c r="D213" s="31"/>
      <c r="E213" s="1"/>
      <c r="F213" s="1"/>
      <c r="G213" s="32"/>
      <c r="H213" s="1"/>
      <c r="I213" s="1"/>
      <c r="J213" s="45" t="str">
        <f t="shared" si="107"/>
        <v/>
      </c>
      <c r="K213" s="64"/>
      <c r="L213" s="1">
        <f>IFERROR(VLOOKUP($C213,Таблица!$B$409:$K$418,3,FALSE),0)</f>
        <v>0</v>
      </c>
      <c r="M213" s="1" t="str">
        <f>IFERROR(VLOOKUP($C213,Таблица!$B$409:$F$418,5,FALSE),"")</f>
        <v/>
      </c>
      <c r="N213" s="1" t="str">
        <f>IFERROR(VLOOKUP($C213,Таблица!$B$409:$E$418,4,FALSE),"")</f>
        <v/>
      </c>
      <c r="O213" s="1">
        <f t="shared" ref="O213:O214" si="108">IF(E213="",1,E213)*IF(F213="",1,F213)*IF(G213="",1,G213)*IF(H213="",1,H213)*IF(I213="",1,I213)</f>
        <v>1</v>
      </c>
      <c r="P213" s="42"/>
      <c r="Q213" s="1" t="str">
        <f>IF(OR(AND(ISERROR(VLOOKUP($C213,Таблица!$B$409:$E$418,2,FALSE)),$C213&lt;&gt;""),P213&lt;&gt;""),"√","")</f>
        <v/>
      </c>
      <c r="R213" s="254">
        <f>IFERROR(ROUND(K213*IF(P213="",N213*O213,P213*O213),2),0)</f>
        <v>0</v>
      </c>
      <c r="S213" s="62">
        <f t="shared" ref="S213:W214" ca="1" si="109">ROUND(N($R213)/(1+$AD213)*(1+$AD213-3%)*S$206%*(1+$K$224),2)</f>
        <v>0</v>
      </c>
      <c r="T213" s="62">
        <f t="shared" ca="1" si="109"/>
        <v>0</v>
      </c>
      <c r="U213" s="84">
        <f t="shared" ca="1" si="109"/>
        <v>0</v>
      </c>
      <c r="V213" s="84">
        <f t="shared" ca="1" si="109"/>
        <v>0</v>
      </c>
      <c r="W213" s="84">
        <f t="shared" ca="1" si="109"/>
        <v>0</v>
      </c>
      <c r="X213" s="88">
        <f t="shared" ref="X213:AB214" ca="1" si="110">IF($R213="",0,ROUND($R213*X$206/(1+$AD213)*(1+$K$224),2))</f>
        <v>0</v>
      </c>
      <c r="Y213" s="88">
        <f t="shared" ca="1" si="110"/>
        <v>0</v>
      </c>
      <c r="Z213" s="88">
        <f t="shared" ca="1" si="110"/>
        <v>0</v>
      </c>
      <c r="AA213" s="88">
        <f t="shared" ca="1" si="110"/>
        <v>0</v>
      </c>
      <c r="AB213" s="88">
        <f t="shared" ca="1" si="110"/>
        <v>0</v>
      </c>
      <c r="AC213" s="237">
        <f t="shared" ref="AC213:AC214" si="111">ROUND(IFERROR(R213/(1+AD213)*AD213*(1+$K$224),0),2)</f>
        <v>0</v>
      </c>
      <c r="AD213" s="89">
        <f>IF($M213&gt;=110,SUM(Таблица!$R$44:'Таблица'!R$48),SUM(Таблица!$R$36:'Таблица'!R$40))+0.03</f>
        <v>0.36080000000000001</v>
      </c>
    </row>
    <row r="214" spans="1:30" x14ac:dyDescent="0.2">
      <c r="A214" s="114" t="str">
        <f>IF(C214="","",MAX(A$207:A213)+1)</f>
        <v/>
      </c>
      <c r="B214" s="56" t="str">
        <f>IFERROR(VLOOKUP($C214,Таблица!$B$367:$E$385,2,FALSE),"")</f>
        <v/>
      </c>
      <c r="C214" s="31"/>
      <c r="D214" s="48"/>
      <c r="E214" s="1"/>
      <c r="F214" s="1"/>
      <c r="G214" s="50"/>
      <c r="H214" s="1"/>
      <c r="I214" s="1"/>
      <c r="J214" s="56" t="str">
        <f t="shared" si="107"/>
        <v/>
      </c>
      <c r="K214" s="64"/>
      <c r="L214" s="1">
        <f>IFERROR(VLOOKUP($C214,Таблица!$B$409:$K$418,3,FALSE),0)</f>
        <v>0</v>
      </c>
      <c r="M214" s="1" t="str">
        <f>IFERROR(VLOOKUP($C214,Таблица!$B$409:$F$418,5,FALSE),"")</f>
        <v/>
      </c>
      <c r="N214" s="1" t="str">
        <f>IFERROR(VLOOKUP($C214,Таблица!$B$409:$E$418,4,FALSE),"")</f>
        <v/>
      </c>
      <c r="O214" s="1">
        <f t="shared" si="108"/>
        <v>1</v>
      </c>
      <c r="P214" s="51"/>
      <c r="Q214" s="1" t="str">
        <f>IF(OR(AND(ISERROR(VLOOKUP($C214,Таблица!$B$409:$E$418,2,FALSE)),$C214&lt;&gt;""),P214&lt;&gt;""),"√","")</f>
        <v/>
      </c>
      <c r="R214" s="254">
        <f>IFERROR(ROUND(K214*IF(P214="",N214*O214,P214*O214),2),0)</f>
        <v>0</v>
      </c>
      <c r="S214" s="62">
        <f t="shared" ca="1" si="109"/>
        <v>0</v>
      </c>
      <c r="T214" s="62">
        <f t="shared" ca="1" si="109"/>
        <v>0</v>
      </c>
      <c r="U214" s="84">
        <f t="shared" ca="1" si="109"/>
        <v>0</v>
      </c>
      <c r="V214" s="84">
        <f t="shared" ca="1" si="109"/>
        <v>0</v>
      </c>
      <c r="W214" s="84">
        <f t="shared" ca="1" si="109"/>
        <v>0</v>
      </c>
      <c r="X214" s="88">
        <f t="shared" ca="1" si="110"/>
        <v>0</v>
      </c>
      <c r="Y214" s="88">
        <f t="shared" ca="1" si="110"/>
        <v>0</v>
      </c>
      <c r="Z214" s="88">
        <f t="shared" ca="1" si="110"/>
        <v>0</v>
      </c>
      <c r="AA214" s="88">
        <f t="shared" ca="1" si="110"/>
        <v>0</v>
      </c>
      <c r="AB214" s="88">
        <f t="shared" ca="1" si="110"/>
        <v>0</v>
      </c>
      <c r="AC214" s="237">
        <f t="shared" si="111"/>
        <v>0</v>
      </c>
      <c r="AD214" s="89">
        <f>IF($M214&gt;=110,SUM(Таблица!$R$44:'Таблица'!R$48),SUM(Таблица!$R$36:'Таблица'!R$40))+0.03</f>
        <v>0.36080000000000001</v>
      </c>
    </row>
    <row r="215" spans="1:30" s="60" customFormat="1" ht="14.25" customHeight="1" x14ac:dyDescent="0.2">
      <c r="A215" s="114"/>
      <c r="B215" s="56"/>
      <c r="C215" s="15" t="s">
        <v>1301</v>
      </c>
      <c r="D215" s="15"/>
      <c r="E215" s="56"/>
      <c r="F215" s="56"/>
      <c r="G215" s="56"/>
      <c r="H215" s="56"/>
      <c r="I215" s="56"/>
      <c r="J215" s="56"/>
      <c r="K215" s="56"/>
      <c r="L215" s="56"/>
      <c r="M215" s="56"/>
      <c r="N215" s="56"/>
      <c r="O215" s="56"/>
      <c r="P215" s="56"/>
      <c r="Q215" s="56"/>
      <c r="R215" s="249">
        <v>0</v>
      </c>
      <c r="S215" s="85"/>
      <c r="T215" s="85"/>
      <c r="U215" s="86"/>
      <c r="V215" s="86"/>
      <c r="W215" s="86"/>
      <c r="X215" s="89"/>
      <c r="Y215" s="89"/>
      <c r="Z215" s="89"/>
      <c r="AA215" s="89"/>
      <c r="AB215" s="89"/>
      <c r="AC215" s="237"/>
      <c r="AD215" s="137"/>
    </row>
    <row r="216" spans="1:30" s="60" customFormat="1" x14ac:dyDescent="0.2">
      <c r="A216" s="114"/>
      <c r="B216" s="56" t="str">
        <f>IFERROR(VLOOKUP($C216,Таблица!$B$388:$E$406,2,FALSE),"")</f>
        <v/>
      </c>
      <c r="C216" s="48"/>
      <c r="D216" s="48"/>
      <c r="E216" s="56"/>
      <c r="F216" s="56"/>
      <c r="G216" s="50"/>
      <c r="H216" s="56"/>
      <c r="I216" s="56"/>
      <c r="J216" s="56" t="str">
        <f>IF($C216="","","шт")</f>
        <v/>
      </c>
      <c r="K216" s="64"/>
      <c r="L216" s="56">
        <f>IFERROR(VLOOKUP($C216,Таблица!$B$388:$K$406,3,FALSE),0)</f>
        <v>0</v>
      </c>
      <c r="M216" s="56" t="str">
        <f>IFERROR(VLOOKUP($C216,Таблица!$B$388:$F$406,5,FALSE),"")</f>
        <v/>
      </c>
      <c r="N216" s="56" t="str">
        <f>IFERROR(VLOOKUP($C216,Таблица!$B$388:$E$406,4,FALSE),"")</f>
        <v/>
      </c>
      <c r="O216" s="56">
        <f t="shared" ref="O216" si="112">IF(E216="",1,E216)*IF(F216="",1,F216)*IF(G216="",1,G216)*IF(H216="",1,H216)*IF(I216="",1,I216)</f>
        <v>1</v>
      </c>
      <c r="P216" s="51"/>
      <c r="Q216" s="56" t="str">
        <f>IF(OR(AND(ISERROR(VLOOKUP($C216,Таблица!$B$388:$E$406,2,FALSE)),$C216&lt;&gt;""),P216&lt;&gt;""),"√","")</f>
        <v/>
      </c>
      <c r="R216" s="254">
        <f>IFERROR(ROUND(K216*IF(P216="",N216*O216,P216*O216),2),0)</f>
        <v>0</v>
      </c>
      <c r="S216" s="62">
        <f t="shared" ref="S216:W217" ca="1" si="113">ROUND(N($R216)/(1+$AD216)*(1+$AD216-3%)*S$206%*(1+$K$224),2)</f>
        <v>0</v>
      </c>
      <c r="T216" s="62">
        <f t="shared" ca="1" si="113"/>
        <v>0</v>
      </c>
      <c r="U216" s="84">
        <f t="shared" ca="1" si="113"/>
        <v>0</v>
      </c>
      <c r="V216" s="84">
        <f t="shared" ca="1" si="113"/>
        <v>0</v>
      </c>
      <c r="W216" s="84">
        <f t="shared" ca="1" si="113"/>
        <v>0</v>
      </c>
      <c r="X216" s="88">
        <f t="shared" ref="X216:AB217" ca="1" si="114">IF($R216="",0,ROUND($R216*X$206/(1+$AD216)*(1+$K$224),2))</f>
        <v>0</v>
      </c>
      <c r="Y216" s="88">
        <f t="shared" ca="1" si="114"/>
        <v>0</v>
      </c>
      <c r="Z216" s="88">
        <f t="shared" ca="1" si="114"/>
        <v>0</v>
      </c>
      <c r="AA216" s="88">
        <f t="shared" ca="1" si="114"/>
        <v>0</v>
      </c>
      <c r="AB216" s="88">
        <f t="shared" ca="1" si="114"/>
        <v>0</v>
      </c>
      <c r="AC216" s="237">
        <f t="shared" ref="AC216:AC217" si="115">ROUND(IFERROR(R216/(1+AD216)*AD216*(1+$K$224),0),2)</f>
        <v>0</v>
      </c>
      <c r="AD216" s="89">
        <f>IF($M216&gt;=110,SUM(Таблица!$R$44:'Таблица'!R$48),SUM(Таблица!$R$36:'Таблица'!R$40))+0.03</f>
        <v>0.36080000000000001</v>
      </c>
    </row>
    <row r="217" spans="1:30" s="60" customFormat="1" x14ac:dyDescent="0.2">
      <c r="A217" s="114"/>
      <c r="B217" s="56" t="str">
        <f>IFERROR(VLOOKUP($C217,Таблица!$B$388:$E$406,2,FALSE),"")</f>
        <v/>
      </c>
      <c r="C217" s="48"/>
      <c r="D217" s="48"/>
      <c r="E217" s="56"/>
      <c r="F217" s="56"/>
      <c r="G217" s="50"/>
      <c r="H217" s="56"/>
      <c r="I217" s="56"/>
      <c r="J217" s="56" t="str">
        <f t="shared" ref="J217:J220" si="116">IF($C217="","","шт")</f>
        <v/>
      </c>
      <c r="K217" s="64"/>
      <c r="L217" s="56">
        <f>IFERROR(VLOOKUP($C217,Таблица!$B$388:$K$406,3,FALSE),0)</f>
        <v>0</v>
      </c>
      <c r="M217" s="56" t="str">
        <f>IFERROR(VLOOKUP($C217,Таблица!$B$388:$F$406,5,FALSE),"")</f>
        <v/>
      </c>
      <c r="N217" s="56" t="str">
        <f>IFERROR(VLOOKUP($C217,Таблица!$B$388:$E$406,4,FALSE),"")</f>
        <v/>
      </c>
      <c r="O217" s="56">
        <v>1</v>
      </c>
      <c r="P217" s="51"/>
      <c r="Q217" s="56" t="str">
        <f>IF(OR(AND(ISERROR(VLOOKUP($C217,Таблица!$B$388:$E$406,2,FALSE)),$C217&lt;&gt;""),P217&lt;&gt;""),"√","")</f>
        <v/>
      </c>
      <c r="R217" s="254">
        <f>IFERROR(ROUND(K217*IF(P217="",N217*O217,P217*O217),2),0)</f>
        <v>0</v>
      </c>
      <c r="S217" s="62">
        <f t="shared" ca="1" si="113"/>
        <v>0</v>
      </c>
      <c r="T217" s="62">
        <f t="shared" ca="1" si="113"/>
        <v>0</v>
      </c>
      <c r="U217" s="84">
        <f t="shared" ca="1" si="113"/>
        <v>0</v>
      </c>
      <c r="V217" s="84">
        <f t="shared" ca="1" si="113"/>
        <v>0</v>
      </c>
      <c r="W217" s="84">
        <f t="shared" ca="1" si="113"/>
        <v>0</v>
      </c>
      <c r="X217" s="88">
        <f t="shared" ca="1" si="114"/>
        <v>0</v>
      </c>
      <c r="Y217" s="88">
        <f t="shared" ca="1" si="114"/>
        <v>0</v>
      </c>
      <c r="Z217" s="88">
        <f t="shared" ca="1" si="114"/>
        <v>0</v>
      </c>
      <c r="AA217" s="88">
        <f t="shared" ca="1" si="114"/>
        <v>0</v>
      </c>
      <c r="AB217" s="88">
        <f t="shared" ca="1" si="114"/>
        <v>0</v>
      </c>
      <c r="AC217" s="237">
        <f t="shared" si="115"/>
        <v>0</v>
      </c>
      <c r="AD217" s="89">
        <f>IF($M217&gt;=110,SUM(Таблица!$R$44:'Таблица'!R$48),SUM(Таблица!$R$36:'Таблица'!R$40))+0.03</f>
        <v>0.36080000000000001</v>
      </c>
    </row>
    <row r="218" spans="1:30" s="60" customFormat="1" ht="14.25" customHeight="1" x14ac:dyDescent="0.2">
      <c r="A218" s="202"/>
      <c r="B218" s="56"/>
      <c r="C218" s="15" t="s">
        <v>1302</v>
      </c>
      <c r="D218" s="15"/>
      <c r="E218" s="56"/>
      <c r="F218" s="56"/>
      <c r="G218" s="56"/>
      <c r="H218" s="56"/>
      <c r="I218" s="56"/>
      <c r="J218" s="56"/>
      <c r="K218" s="56"/>
      <c r="L218" s="56"/>
      <c r="M218" s="56"/>
      <c r="N218" s="56"/>
      <c r="O218" s="56"/>
      <c r="P218" s="56"/>
      <c r="Q218" s="56"/>
      <c r="R218" s="249">
        <v>0</v>
      </c>
      <c r="S218" s="85"/>
      <c r="T218" s="85"/>
      <c r="U218" s="86"/>
      <c r="V218" s="86"/>
      <c r="W218" s="86"/>
      <c r="X218" s="89"/>
      <c r="Y218" s="89"/>
      <c r="Z218" s="89"/>
      <c r="AA218" s="89"/>
      <c r="AB218" s="89"/>
      <c r="AC218" s="237"/>
      <c r="AD218" s="137"/>
    </row>
    <row r="219" spans="1:30" s="60" customFormat="1" x14ac:dyDescent="0.2">
      <c r="A219" s="114"/>
      <c r="B219" s="56" t="str">
        <f>IFERROR(VLOOKUP($C219,Таблица!$B$421:$E$430,2,FALSE),"")</f>
        <v/>
      </c>
      <c r="C219" s="48"/>
      <c r="D219" s="48"/>
      <c r="E219" s="56"/>
      <c r="F219" s="56"/>
      <c r="G219" s="50"/>
      <c r="H219" s="56"/>
      <c r="I219" s="56"/>
      <c r="J219" s="56" t="str">
        <f t="shared" si="116"/>
        <v/>
      </c>
      <c r="K219" s="64"/>
      <c r="L219" s="56">
        <f>IFERROR(VLOOKUP($C219,Таблица!$B$421:$K$430,3,FALSE),0)</f>
        <v>0</v>
      </c>
      <c r="M219" s="56" t="str">
        <f>IFERROR(VLOOKUP($C219,Таблица!$B$421:$F$430,5,FALSE),"")</f>
        <v/>
      </c>
      <c r="N219" s="56" t="str">
        <f>IFERROR(VLOOKUP($C219,Таблица!$B$421:$E$430,4,FALSE),"")</f>
        <v/>
      </c>
      <c r="O219" s="56">
        <f t="shared" ref="O219:O220" si="117">IF(E219="",1,E219)*IF(F219="",1,F219)*IF(G219="",1,G219)*IF(H219="",1,H219)*IF(I219="",1,I219)</f>
        <v>1</v>
      </c>
      <c r="P219" s="51"/>
      <c r="Q219" s="56" t="str">
        <f>IF(OR(AND(ISERROR(VLOOKUP($C219,Таблица!$B421:$E$430,2,FALSE)),$C219&lt;&gt;""),P219&lt;&gt;""),"√","")</f>
        <v/>
      </c>
      <c r="R219" s="254">
        <f>IFERROR(ROUND(K219*IF(P219="",N219*O219,P219*O219),2),0)</f>
        <v>0</v>
      </c>
      <c r="S219" s="62">
        <f t="shared" ref="S219:W220" ca="1" si="118">ROUND(N($R219)/(1+$AD219)*(1+$AD219-3%)*S$206%*(1+$K$224),2)</f>
        <v>0</v>
      </c>
      <c r="T219" s="62">
        <f t="shared" ca="1" si="118"/>
        <v>0</v>
      </c>
      <c r="U219" s="84">
        <f t="shared" ca="1" si="118"/>
        <v>0</v>
      </c>
      <c r="V219" s="84">
        <f t="shared" ca="1" si="118"/>
        <v>0</v>
      </c>
      <c r="W219" s="84">
        <f t="shared" ca="1" si="118"/>
        <v>0</v>
      </c>
      <c r="X219" s="88">
        <f t="shared" ref="X219:AB220" ca="1" si="119">IF($R219="",0,ROUND($R219*X$206/(1+$AD219)*(1+$K$224),2))</f>
        <v>0</v>
      </c>
      <c r="Y219" s="88">
        <f t="shared" ca="1" si="119"/>
        <v>0</v>
      </c>
      <c r="Z219" s="88">
        <f t="shared" ca="1" si="119"/>
        <v>0</v>
      </c>
      <c r="AA219" s="88">
        <f t="shared" ca="1" si="119"/>
        <v>0</v>
      </c>
      <c r="AB219" s="88">
        <f t="shared" ca="1" si="119"/>
        <v>0</v>
      </c>
      <c r="AC219" s="237">
        <f t="shared" ref="AC219:AC220" si="120">ROUND(IFERROR(R219/(1+AD219)*AD219*(1+$K$224),0),2)</f>
        <v>0</v>
      </c>
      <c r="AD219" s="89">
        <f>IF($M219&gt;=110,SUM(Таблица!$R$44:'Таблица'!R$48),SUM(Таблица!$R$36:'Таблица'!R$40))+0.03</f>
        <v>0.36080000000000001</v>
      </c>
    </row>
    <row r="220" spans="1:30" s="60" customFormat="1" x14ac:dyDescent="0.2">
      <c r="A220" s="114"/>
      <c r="B220" s="56" t="str">
        <f>IFERROR(VLOOKUP($C220,Таблица!$B$421:$E$430,2,FALSE),"")</f>
        <v/>
      </c>
      <c r="C220" s="48"/>
      <c r="D220" s="48"/>
      <c r="E220" s="56"/>
      <c r="F220" s="56"/>
      <c r="G220" s="50"/>
      <c r="H220" s="56"/>
      <c r="I220" s="56"/>
      <c r="J220" s="56" t="str">
        <f t="shared" si="116"/>
        <v/>
      </c>
      <c r="K220" s="64"/>
      <c r="L220" s="56">
        <f>IFERROR(VLOOKUP($C220,Таблица!$B$421:$K$430,3,FALSE),0)</f>
        <v>0</v>
      </c>
      <c r="M220" s="56" t="str">
        <f>IFERROR(VLOOKUP($C220,Таблица!$B$421:$F$430,5,FALSE),"")</f>
        <v/>
      </c>
      <c r="N220" s="56" t="str">
        <f>IFERROR(VLOOKUP($C220,Таблица!$B$421:$E$430,4,FALSE),"")</f>
        <v/>
      </c>
      <c r="O220" s="56">
        <f t="shared" si="117"/>
        <v>1</v>
      </c>
      <c r="P220" s="51"/>
      <c r="Q220" s="56" t="str">
        <f>IF(OR(AND(ISERROR(VLOOKUP($C220,Таблица!$B421:$E$430,2,FALSE)),$C220&lt;&gt;""),P220&lt;&gt;""),"√","")</f>
        <v/>
      </c>
      <c r="R220" s="254">
        <f>IFERROR(ROUND(K220*IF(P220="",N220*O220,P220*O220),2),0)</f>
        <v>0</v>
      </c>
      <c r="S220" s="62">
        <f t="shared" ca="1" si="118"/>
        <v>0</v>
      </c>
      <c r="T220" s="62">
        <f t="shared" ca="1" si="118"/>
        <v>0</v>
      </c>
      <c r="U220" s="84">
        <f t="shared" ca="1" si="118"/>
        <v>0</v>
      </c>
      <c r="V220" s="84">
        <f t="shared" ca="1" si="118"/>
        <v>0</v>
      </c>
      <c r="W220" s="84">
        <f t="shared" ca="1" si="118"/>
        <v>0</v>
      </c>
      <c r="X220" s="88">
        <f t="shared" ca="1" si="119"/>
        <v>0</v>
      </c>
      <c r="Y220" s="88">
        <f t="shared" ca="1" si="119"/>
        <v>0</v>
      </c>
      <c r="Z220" s="88">
        <f t="shared" ca="1" si="119"/>
        <v>0</v>
      </c>
      <c r="AA220" s="88">
        <f t="shared" ca="1" si="119"/>
        <v>0</v>
      </c>
      <c r="AB220" s="88">
        <f t="shared" ca="1" si="119"/>
        <v>0</v>
      </c>
      <c r="AC220" s="237">
        <f t="shared" si="120"/>
        <v>0</v>
      </c>
      <c r="AD220" s="89">
        <f>IF($M220&gt;=110,SUM(Таблица!$R$44:'Таблица'!R$48),SUM(Таблица!$R$36:'Таблица'!R$40))+0.03</f>
        <v>0.36080000000000001</v>
      </c>
    </row>
    <row r="221" spans="1:30" s="68" customFormat="1" hidden="1" x14ac:dyDescent="0.2">
      <c r="A221" s="133" t="s">
        <v>636</v>
      </c>
      <c r="B221" s="65"/>
      <c r="C221" s="65" t="s">
        <v>1029</v>
      </c>
      <c r="D221" s="66"/>
      <c r="E221" s="65"/>
      <c r="F221" s="65"/>
      <c r="G221" s="65"/>
      <c r="H221" s="65"/>
      <c r="I221" s="65"/>
      <c r="J221" s="65"/>
      <c r="K221" s="65"/>
      <c r="L221" s="66">
        <v>0</v>
      </c>
      <c r="M221" s="66">
        <v>20</v>
      </c>
      <c r="N221" s="65"/>
      <c r="O221" s="65"/>
      <c r="P221" s="65"/>
      <c r="Q221" s="69"/>
      <c r="R221" s="254">
        <f t="shared" ref="R221:R223" si="121">IFERROR(ROUND(K221*IF(P221="",N221*O221,P221*O221),2),0)</f>
        <v>0</v>
      </c>
      <c r="S221" s="87">
        <f>SUMIF($M$210:$M$220,"&lt;10",S$210:S$220)</f>
        <v>0</v>
      </c>
      <c r="T221" s="87">
        <f t="shared" ref="T221:AB221" si="122">SUMIF($M$210:$M$220,"&lt;10",T$210:T$220)</f>
        <v>0</v>
      </c>
      <c r="U221" s="87">
        <f t="shared" si="122"/>
        <v>0</v>
      </c>
      <c r="V221" s="87">
        <f t="shared" si="122"/>
        <v>0</v>
      </c>
      <c r="W221" s="87">
        <f t="shared" si="122"/>
        <v>0</v>
      </c>
      <c r="X221" s="100">
        <f t="shared" si="122"/>
        <v>0</v>
      </c>
      <c r="Y221" s="100">
        <f t="shared" si="122"/>
        <v>0</v>
      </c>
      <c r="Z221" s="100">
        <f t="shared" si="122"/>
        <v>0</v>
      </c>
      <c r="AA221" s="100">
        <f t="shared" si="122"/>
        <v>0</v>
      </c>
      <c r="AB221" s="100">
        <f t="shared" si="122"/>
        <v>0</v>
      </c>
    </row>
    <row r="222" spans="1:30" s="68" customFormat="1" hidden="1" x14ac:dyDescent="0.2">
      <c r="A222" s="133" t="s">
        <v>636</v>
      </c>
      <c r="B222" s="65"/>
      <c r="C222" s="65" t="s">
        <v>1020</v>
      </c>
      <c r="D222" s="66"/>
      <c r="E222" s="65"/>
      <c r="F222" s="65"/>
      <c r="G222" s="65"/>
      <c r="H222" s="65"/>
      <c r="I222" s="65"/>
      <c r="J222" s="65"/>
      <c r="K222" s="65"/>
      <c r="L222" s="66">
        <v>35</v>
      </c>
      <c r="M222" s="66">
        <v>35</v>
      </c>
      <c r="N222" s="65"/>
      <c r="O222" s="65"/>
      <c r="P222" s="65"/>
      <c r="Q222" s="69"/>
      <c r="R222" s="254">
        <f t="shared" si="121"/>
        <v>0</v>
      </c>
      <c r="S222" s="87">
        <f>SUMIF($M$210:$M$220,"&lt;=35",S$210:S$220)-S221</f>
        <v>0</v>
      </c>
      <c r="T222" s="87">
        <f t="shared" ref="T222:AB222" si="123">SUMIF($M$210:$M$220,"&lt;=35",T$210:T$220)-T221</f>
        <v>0</v>
      </c>
      <c r="U222" s="87">
        <f t="shared" si="123"/>
        <v>0</v>
      </c>
      <c r="V222" s="87">
        <f t="shared" si="123"/>
        <v>0</v>
      </c>
      <c r="W222" s="87">
        <f t="shared" si="123"/>
        <v>0</v>
      </c>
      <c r="X222" s="100">
        <f t="shared" si="123"/>
        <v>0</v>
      </c>
      <c r="Y222" s="100">
        <f t="shared" si="123"/>
        <v>0</v>
      </c>
      <c r="Z222" s="100">
        <f t="shared" si="123"/>
        <v>0</v>
      </c>
      <c r="AA222" s="100">
        <f t="shared" si="123"/>
        <v>0</v>
      </c>
      <c r="AB222" s="100">
        <f t="shared" si="123"/>
        <v>0</v>
      </c>
    </row>
    <row r="223" spans="1:30" s="68" customFormat="1" hidden="1" x14ac:dyDescent="0.2">
      <c r="A223" s="133" t="s">
        <v>636</v>
      </c>
      <c r="B223" s="65"/>
      <c r="C223" s="65" t="s">
        <v>1021</v>
      </c>
      <c r="D223" s="66"/>
      <c r="E223" s="65"/>
      <c r="F223" s="65"/>
      <c r="G223" s="65"/>
      <c r="H223" s="65"/>
      <c r="I223" s="65"/>
      <c r="J223" s="65"/>
      <c r="K223" s="65"/>
      <c r="L223" s="66">
        <v>110</v>
      </c>
      <c r="M223" s="66">
        <v>220</v>
      </c>
      <c r="N223" s="65"/>
      <c r="O223" s="65"/>
      <c r="P223" s="65"/>
      <c r="Q223" s="69"/>
      <c r="R223" s="254">
        <f t="shared" si="121"/>
        <v>0</v>
      </c>
      <c r="S223" s="87">
        <f>SUMIF($M$210:$M$220,"&gt;=110",S$210:S$220)</f>
        <v>0</v>
      </c>
      <c r="T223" s="87">
        <f t="shared" ref="T223:AB223" si="124">SUMIF($M$210:$M$220,"&gt;=110",T$210:T$220)</f>
        <v>0</v>
      </c>
      <c r="U223" s="87">
        <f t="shared" si="124"/>
        <v>0</v>
      </c>
      <c r="V223" s="87">
        <f t="shared" si="124"/>
        <v>0</v>
      </c>
      <c r="W223" s="87">
        <f t="shared" si="124"/>
        <v>0</v>
      </c>
      <c r="X223" s="100">
        <f t="shared" si="124"/>
        <v>0</v>
      </c>
      <c r="Y223" s="100">
        <f t="shared" si="124"/>
        <v>0</v>
      </c>
      <c r="Z223" s="100">
        <f t="shared" si="124"/>
        <v>0</v>
      </c>
      <c r="AA223" s="100">
        <f t="shared" si="124"/>
        <v>0</v>
      </c>
      <c r="AB223" s="100">
        <f t="shared" si="124"/>
        <v>0</v>
      </c>
    </row>
    <row r="224" spans="1:30" x14ac:dyDescent="0.2">
      <c r="A224" s="114"/>
      <c r="B224" s="1"/>
      <c r="C224" s="1" t="s">
        <v>1022</v>
      </c>
      <c r="D224" s="15"/>
      <c r="E224" s="1"/>
      <c r="F224" s="1"/>
      <c r="G224" s="1"/>
      <c r="H224" s="1"/>
      <c r="I224" s="1"/>
      <c r="J224" s="1" t="str">
        <f>IF($M$12,"%","")</f>
        <v/>
      </c>
      <c r="K224" s="12">
        <f>IF($C$12=Таблица!$M$7,Таблица!$R$7,IF($C$12=Таблица!$M$8,Таблица!$R$8,1))-1</f>
        <v>0</v>
      </c>
      <c r="L224" s="1"/>
      <c r="M224" s="1"/>
      <c r="N224" s="1"/>
      <c r="O224" s="1"/>
      <c r="P224" s="1"/>
      <c r="Q224" s="1"/>
      <c r="R224" s="249">
        <f>ROUND(SUM(R210:R214,R216:R220)*K224,2)</f>
        <v>0</v>
      </c>
      <c r="S224" s="101"/>
      <c r="T224" s="101"/>
      <c r="U224" s="86"/>
      <c r="V224" s="86"/>
      <c r="W224" s="86"/>
      <c r="AC224" s="89"/>
    </row>
    <row r="225" spans="1:32" ht="13.5" x14ac:dyDescent="0.25">
      <c r="A225" s="114"/>
      <c r="B225" s="1"/>
      <c r="C225" s="24" t="s">
        <v>1190</v>
      </c>
      <c r="D225" s="605" t="str">
        <f>IF(R293,IF(SUM(R210:R214,R216:R220),"","Тип подстанции: "),"")</f>
        <v xml:space="preserve">Тип подстанции: </v>
      </c>
      <c r="E225" s="606"/>
      <c r="F225" s="607"/>
      <c r="G225" s="50" t="s">
        <v>1282</v>
      </c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249">
        <v>0</v>
      </c>
      <c r="S225" s="101">
        <f ca="1">SUM(S210:W220)</f>
        <v>0</v>
      </c>
      <c r="T225" s="101">
        <f ca="1">SUM(X210:AB220)</f>
        <v>0</v>
      </c>
      <c r="U225" s="86"/>
      <c r="V225" s="86"/>
      <c r="W225" s="86"/>
    </row>
    <row r="226" spans="1:32" s="60" customFormat="1" x14ac:dyDescent="0.2">
      <c r="A226" s="197"/>
      <c r="B226" s="56"/>
      <c r="C226" s="198"/>
      <c r="D226" s="15"/>
      <c r="E226" s="56"/>
      <c r="F226" s="56"/>
      <c r="G226" s="56"/>
      <c r="H226" s="56"/>
      <c r="I226" s="56"/>
      <c r="J226" s="56"/>
      <c r="K226" s="56"/>
      <c r="L226" s="56"/>
      <c r="M226" s="56"/>
      <c r="N226" s="56"/>
      <c r="O226" s="56"/>
      <c r="P226" s="56"/>
      <c r="Q226" s="56"/>
      <c r="R226" s="249">
        <v>0</v>
      </c>
      <c r="S226" s="101"/>
      <c r="T226" s="101"/>
      <c r="U226" s="86"/>
      <c r="V226" s="86"/>
      <c r="W226" s="86"/>
      <c r="X226" s="89"/>
      <c r="Y226" s="89"/>
      <c r="Z226" s="89"/>
      <c r="AA226" s="89"/>
      <c r="AB226" s="89"/>
      <c r="AC226" s="137"/>
      <c r="AD226" s="89"/>
    </row>
    <row r="227" spans="1:32" s="60" customFormat="1" x14ac:dyDescent="0.2">
      <c r="A227" s="197" t="str">
        <f>IF(C227="","",MAX(A$207:A226)+1)</f>
        <v/>
      </c>
      <c r="B227" s="56" t="str">
        <f>IFERROR(VLOOKUP($C227,Таблица!$B$694:$F$697,2,FALSE),"")</f>
        <v/>
      </c>
      <c r="C227" s="48"/>
      <c r="D227" s="48"/>
      <c r="E227" s="56"/>
      <c r="F227" s="56"/>
      <c r="G227" s="50"/>
      <c r="H227" s="56"/>
      <c r="I227" s="56"/>
      <c r="J227" s="56" t="str">
        <f>IF($C227="","","кв. м")</f>
        <v/>
      </c>
      <c r="K227" s="64"/>
      <c r="L227" s="56">
        <f>IFERROR(VLOOKUP($C227,Таблица!$B$694:$F$697,3,FALSE),0)</f>
        <v>0</v>
      </c>
      <c r="M227" s="56" t="str">
        <f>IFERROR(VLOOKUP($C227,Таблица!$B$694:$F$697,5,FALSE),"")</f>
        <v/>
      </c>
      <c r="N227" s="56" t="str">
        <f>IF($C227="","",16)</f>
        <v/>
      </c>
      <c r="O227" s="56">
        <f>IF(E227="",1,E227)*IF(F227="",1,F227)*IF(G227="",1,G227)*IF(H227="",1,H227)*IF(I227="",1,I227)</f>
        <v>1</v>
      </c>
      <c r="P227" s="51"/>
      <c r="Q227" s="56" t="str">
        <f>IF(AND($C227&lt;&gt;"",P227&lt;&gt;""),"√","")</f>
        <v/>
      </c>
      <c r="R227" s="249">
        <f>IFERROR(ROUND(K227*IF(P227="",N227*O227,P227*O227),2),0)</f>
        <v>0</v>
      </c>
      <c r="S227" s="62">
        <f ca="1">ROUND($AC227*S$206%,2)</f>
        <v>0</v>
      </c>
      <c r="T227" s="97">
        <f t="shared" ref="T227:W230" ca="1" si="125">ROUND($AC227*T$206%,2)</f>
        <v>0</v>
      </c>
      <c r="U227" s="84">
        <f t="shared" ca="1" si="125"/>
        <v>0</v>
      </c>
      <c r="V227" s="84">
        <f t="shared" ca="1" si="125"/>
        <v>0</v>
      </c>
      <c r="W227" s="84">
        <f t="shared" ca="1" si="125"/>
        <v>0</v>
      </c>
      <c r="X227" s="88">
        <f t="shared" ref="X227:AB230" ca="1" si="126">IF($R227="",0,ROUND($R227*X$206*(1+$K$236),2))</f>
        <v>0</v>
      </c>
      <c r="Y227" s="88">
        <f t="shared" ca="1" si="126"/>
        <v>0</v>
      </c>
      <c r="Z227" s="88">
        <f t="shared" ca="1" si="126"/>
        <v>0</v>
      </c>
      <c r="AA227" s="88">
        <f t="shared" ca="1" si="126"/>
        <v>0</v>
      </c>
      <c r="AB227" s="88">
        <f t="shared" ca="1" si="126"/>
        <v>0</v>
      </c>
      <c r="AC227" s="139">
        <f ca="1">IFERROR(ROUND(R227*(1+$K$236),2)+SUM(X227:AB227),0)</f>
        <v>0</v>
      </c>
      <c r="AD227" s="89"/>
      <c r="AE227" s="85"/>
      <c r="AF227" s="85"/>
    </row>
    <row r="228" spans="1:32" s="60" customFormat="1" x14ac:dyDescent="0.2">
      <c r="A228" s="197" t="str">
        <f>IF(C228="","",MAX(A$207:A227)+1)</f>
        <v/>
      </c>
      <c r="B228" s="56" t="str">
        <f>IFERROR(VLOOKUP($C228,Таблица!$B$694:$F$697,2,FALSE),"")</f>
        <v/>
      </c>
      <c r="C228" s="48"/>
      <c r="D228" s="48"/>
      <c r="E228" s="56"/>
      <c r="F228" s="56"/>
      <c r="G228" s="50"/>
      <c r="H228" s="56"/>
      <c r="I228" s="56"/>
      <c r="J228" s="56" t="str">
        <f t="shared" ref="J228:J230" si="127">IF($C228="","","кв. м")</f>
        <v/>
      </c>
      <c r="K228" s="64"/>
      <c r="L228" s="56">
        <f>IFERROR(VLOOKUP($C228,Таблица!$B$694:$F$697,3,FALSE),0)</f>
        <v>0</v>
      </c>
      <c r="M228" s="56" t="str">
        <f>IFERROR(VLOOKUP($C228,Таблица!$B$694:$F$697,5,FALSE),"")</f>
        <v/>
      </c>
      <c r="N228" s="56" t="str">
        <f t="shared" ref="N228:N230" si="128">IF($C228="","",16)</f>
        <v/>
      </c>
      <c r="O228" s="56">
        <f>IF(E228="",1,E228)*IF(F228="",1,F228)*IF(G228="",1,G228)*IF(H228="",1,H228)*IF(I228="",1,I228)</f>
        <v>1</v>
      </c>
      <c r="P228" s="51"/>
      <c r="Q228" s="56" t="str">
        <f t="shared" ref="Q228:Q230" si="129">IF(AND($C228&lt;&gt;"",P228&lt;&gt;""),"√","")</f>
        <v/>
      </c>
      <c r="R228" s="249">
        <f t="shared" ref="R228:R230" si="130">IFERROR(ROUND(K228*IF(P228="",N228*O228,P228*O228),2),0)</f>
        <v>0</v>
      </c>
      <c r="S228" s="62">
        <f t="shared" ref="S228:S230" ca="1" si="131">ROUND($AC228*S$206%,2)</f>
        <v>0</v>
      </c>
      <c r="T228" s="97">
        <f t="shared" ca="1" si="125"/>
        <v>0</v>
      </c>
      <c r="U228" s="84">
        <f t="shared" ca="1" si="125"/>
        <v>0</v>
      </c>
      <c r="V228" s="84">
        <f t="shared" ca="1" si="125"/>
        <v>0</v>
      </c>
      <c r="W228" s="84">
        <f t="shared" ca="1" si="125"/>
        <v>0</v>
      </c>
      <c r="X228" s="88">
        <f t="shared" ca="1" si="126"/>
        <v>0</v>
      </c>
      <c r="Y228" s="88">
        <f t="shared" ca="1" si="126"/>
        <v>0</v>
      </c>
      <c r="Z228" s="88">
        <f t="shared" ca="1" si="126"/>
        <v>0</v>
      </c>
      <c r="AA228" s="88">
        <f t="shared" ca="1" si="126"/>
        <v>0</v>
      </c>
      <c r="AB228" s="88">
        <f t="shared" ca="1" si="126"/>
        <v>0</v>
      </c>
      <c r="AC228" s="139">
        <f t="shared" ref="AC228:AC230" ca="1" si="132">IFERROR(ROUND(R228*(1+$K$236),2)+SUM(X228:AB228),0)</f>
        <v>0</v>
      </c>
      <c r="AD228" s="89"/>
      <c r="AE228" s="85"/>
      <c r="AF228" s="85"/>
    </row>
    <row r="229" spans="1:32" s="60" customFormat="1" x14ac:dyDescent="0.2">
      <c r="A229" s="197" t="str">
        <f>IF(C229="","",MAX(A$207:A228)+1)</f>
        <v/>
      </c>
      <c r="B229" s="56" t="str">
        <f>IFERROR(VLOOKUP($C229,Таблица!$B$694:$F$697,2,FALSE),"")</f>
        <v/>
      </c>
      <c r="C229" s="48"/>
      <c r="D229" s="48"/>
      <c r="E229" s="56"/>
      <c r="F229" s="56"/>
      <c r="G229" s="50"/>
      <c r="H229" s="56"/>
      <c r="I229" s="56"/>
      <c r="J229" s="56" t="str">
        <f t="shared" si="127"/>
        <v/>
      </c>
      <c r="K229" s="64"/>
      <c r="L229" s="56">
        <f>IFERROR(VLOOKUP($C229,Таблица!$B$694:$F$697,3,FALSE),0)</f>
        <v>0</v>
      </c>
      <c r="M229" s="56" t="str">
        <f>IFERROR(VLOOKUP($C229,Таблица!$B$694:$F$697,5,FALSE),"")</f>
        <v/>
      </c>
      <c r="N229" s="56" t="str">
        <f t="shared" si="128"/>
        <v/>
      </c>
      <c r="O229" s="56">
        <f>IF(E229="",1,E229)*IF(F229="",1,F229)*IF(G229="",1,G229)*IF(H229="",1,H229)*IF(I229="",1,I229)</f>
        <v>1</v>
      </c>
      <c r="P229" s="51"/>
      <c r="Q229" s="56" t="str">
        <f t="shared" si="129"/>
        <v/>
      </c>
      <c r="R229" s="249">
        <f t="shared" si="130"/>
        <v>0</v>
      </c>
      <c r="S229" s="62">
        <f t="shared" ca="1" si="131"/>
        <v>0</v>
      </c>
      <c r="T229" s="97">
        <f t="shared" ca="1" si="125"/>
        <v>0</v>
      </c>
      <c r="U229" s="84">
        <f t="shared" ca="1" si="125"/>
        <v>0</v>
      </c>
      <c r="V229" s="84">
        <f t="shared" ca="1" si="125"/>
        <v>0</v>
      </c>
      <c r="W229" s="84">
        <f t="shared" ca="1" si="125"/>
        <v>0</v>
      </c>
      <c r="X229" s="88">
        <f t="shared" ca="1" si="126"/>
        <v>0</v>
      </c>
      <c r="Y229" s="88">
        <f t="shared" ca="1" si="126"/>
        <v>0</v>
      </c>
      <c r="Z229" s="88">
        <f t="shared" ca="1" si="126"/>
        <v>0</v>
      </c>
      <c r="AA229" s="88">
        <f t="shared" ca="1" si="126"/>
        <v>0</v>
      </c>
      <c r="AB229" s="88">
        <f t="shared" ca="1" si="126"/>
        <v>0</v>
      </c>
      <c r="AC229" s="139">
        <f t="shared" ca="1" si="132"/>
        <v>0</v>
      </c>
      <c r="AD229" s="89"/>
      <c r="AE229" s="85"/>
      <c r="AF229" s="85"/>
    </row>
    <row r="230" spans="1:32" s="60" customFormat="1" x14ac:dyDescent="0.2">
      <c r="A230" s="197" t="str">
        <f>IF(C230="","",MAX(A$207:A229)+1)</f>
        <v/>
      </c>
      <c r="B230" s="56" t="str">
        <f>IFERROR(VLOOKUP($C230,Таблица!$B$694:$F$697,2,FALSE),"")</f>
        <v/>
      </c>
      <c r="C230" s="48"/>
      <c r="D230" s="48"/>
      <c r="E230" s="56"/>
      <c r="F230" s="56"/>
      <c r="G230" s="199"/>
      <c r="H230" s="56"/>
      <c r="I230" s="56"/>
      <c r="J230" s="56" t="str">
        <f t="shared" si="127"/>
        <v/>
      </c>
      <c r="K230" s="64"/>
      <c r="L230" s="56">
        <f>IFERROR(VLOOKUP($C230,Таблица!$B$694:$F$697,3,FALSE),0)</f>
        <v>0</v>
      </c>
      <c r="M230" s="56" t="str">
        <f>IFERROR(VLOOKUP($C230,Таблица!$B$694:$F$697,5,FALSE),"")</f>
        <v/>
      </c>
      <c r="N230" s="56" t="str">
        <f t="shared" si="128"/>
        <v/>
      </c>
      <c r="O230" s="56">
        <f>IF(E230="",1,E230)*IF(F230="",1,F230)*IF(G230="",1,G230)*IF(H230="",1,H230)*IF(I230="",1,I230)</f>
        <v>1</v>
      </c>
      <c r="P230" s="51"/>
      <c r="Q230" s="56" t="str">
        <f t="shared" si="129"/>
        <v/>
      </c>
      <c r="R230" s="249">
        <f t="shared" si="130"/>
        <v>0</v>
      </c>
      <c r="S230" s="62">
        <f t="shared" ca="1" si="131"/>
        <v>0</v>
      </c>
      <c r="T230" s="97">
        <f t="shared" ca="1" si="125"/>
        <v>0</v>
      </c>
      <c r="U230" s="84">
        <f t="shared" ca="1" si="125"/>
        <v>0</v>
      </c>
      <c r="V230" s="84">
        <f t="shared" ca="1" si="125"/>
        <v>0</v>
      </c>
      <c r="W230" s="84">
        <f t="shared" ca="1" si="125"/>
        <v>0</v>
      </c>
      <c r="X230" s="88">
        <f t="shared" ca="1" si="126"/>
        <v>0</v>
      </c>
      <c r="Y230" s="88">
        <f t="shared" ca="1" si="126"/>
        <v>0</v>
      </c>
      <c r="Z230" s="88">
        <f t="shared" ca="1" si="126"/>
        <v>0</v>
      </c>
      <c r="AA230" s="88">
        <f t="shared" ca="1" si="126"/>
        <v>0</v>
      </c>
      <c r="AB230" s="88">
        <f t="shared" ca="1" si="126"/>
        <v>0</v>
      </c>
      <c r="AC230" s="139">
        <f t="shared" ca="1" si="132"/>
        <v>0</v>
      </c>
      <c r="AD230" s="89"/>
      <c r="AE230" s="85"/>
      <c r="AF230" s="85"/>
    </row>
    <row r="231" spans="1:32" x14ac:dyDescent="0.2">
      <c r="A231" s="114"/>
      <c r="B231" s="1"/>
      <c r="C231" s="15" t="s">
        <v>937</v>
      </c>
      <c r="D231" s="15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249">
        <v>0</v>
      </c>
      <c r="S231" s="101"/>
      <c r="T231" s="101"/>
      <c r="U231" s="86"/>
      <c r="V231" s="86"/>
      <c r="W231" s="86"/>
    </row>
    <row r="232" spans="1:32" x14ac:dyDescent="0.2">
      <c r="A232" s="114" t="str">
        <f>IF(C232="","",MAX(A$207:A231)+1)</f>
        <v/>
      </c>
      <c r="B232" s="1" t="str">
        <f>IFERROR(VLOOKUP($C232,Таблица!$B$433:$E$442,2,FALSE),"")</f>
        <v/>
      </c>
      <c r="C232" s="31"/>
      <c r="D232" s="31"/>
      <c r="E232" s="1"/>
      <c r="F232" s="1"/>
      <c r="G232" s="32"/>
      <c r="H232" s="1"/>
      <c r="I232" s="1"/>
      <c r="J232" s="1" t="str">
        <f>IF($C232="","","")</f>
        <v/>
      </c>
      <c r="K232" s="64"/>
      <c r="L232" s="1">
        <f>IFERROR(VLOOKUP($C232,Таблица!$B$433:$K$442,3,FALSE),0)</f>
        <v>0</v>
      </c>
      <c r="M232" s="1" t="str">
        <f>IFERROR(VLOOKUP($C232,Таблица!$B$433:$F$442,5,FALSE),"")</f>
        <v/>
      </c>
      <c r="N232" s="1"/>
      <c r="O232" s="1">
        <f>IF(E232="",1,E232)*IF(F232="",1,F232)*IF(G232="",1,G232)*IF(H232="",1,H232)*IF(I232="",1,I232)</f>
        <v>1</v>
      </c>
      <c r="P232" s="42"/>
      <c r="Q232" s="1" t="str">
        <f>IF(OR(AND(ISERROR(VLOOKUP($C232,Таблица!$B$433:$E$442,2,FALSE)),$C232&lt;&gt;""),P232&lt;&gt;""),"√","")</f>
        <v/>
      </c>
      <c r="R232" s="249">
        <f>IFERROR(ROUND(K232*IF(P232="",N232*O232,P232*O232),2),0)</f>
        <v>0</v>
      </c>
      <c r="S232" s="97">
        <f t="shared" ref="S232:W235" ca="1" si="133">ROUND($AC232*S$206%,2)</f>
        <v>0</v>
      </c>
      <c r="T232" s="97">
        <f t="shared" ca="1" si="133"/>
        <v>0</v>
      </c>
      <c r="U232" s="84">
        <f t="shared" ca="1" si="133"/>
        <v>0</v>
      </c>
      <c r="V232" s="84">
        <f t="shared" ca="1" si="133"/>
        <v>0</v>
      </c>
      <c r="W232" s="84">
        <f t="shared" ca="1" si="133"/>
        <v>0</v>
      </c>
      <c r="X232" s="88">
        <f t="shared" ref="X232:AB235" ca="1" si="134">IF($R232="",0,ROUND($R232*X$206*(1+$K$236),2))</f>
        <v>0</v>
      </c>
      <c r="Y232" s="88">
        <f t="shared" ca="1" si="134"/>
        <v>0</v>
      </c>
      <c r="Z232" s="88">
        <f t="shared" ca="1" si="134"/>
        <v>0</v>
      </c>
      <c r="AA232" s="88">
        <f t="shared" ca="1" si="134"/>
        <v>0</v>
      </c>
      <c r="AB232" s="88">
        <f t="shared" ca="1" si="134"/>
        <v>0</v>
      </c>
      <c r="AC232" s="139">
        <f ca="1">IFERROR(ROUND(R232*(1+$K$236),2)+SUM(X232:AB232),0)</f>
        <v>0</v>
      </c>
      <c r="AE232" s="85"/>
      <c r="AF232" s="85"/>
    </row>
    <row r="233" spans="1:32" x14ac:dyDescent="0.2">
      <c r="A233" s="114" t="str">
        <f>IF(C233="","",MAX(A$207:A232)+1)</f>
        <v/>
      </c>
      <c r="B233" s="1" t="str">
        <f>IFERROR(VLOOKUP($C233,Таблица!$B$433:$E$442,2,FALSE),"")</f>
        <v/>
      </c>
      <c r="C233" s="31"/>
      <c r="D233" s="31"/>
      <c r="E233" s="1"/>
      <c r="F233" s="1"/>
      <c r="G233" s="32"/>
      <c r="H233" s="1"/>
      <c r="I233" s="1"/>
      <c r="J233" s="1" t="str">
        <f>IF($C233="","","")</f>
        <v/>
      </c>
      <c r="K233" s="64"/>
      <c r="L233" s="1">
        <f>IFERROR(VLOOKUP($C233,Таблица!$B$433:$K$442,3,FALSE),0)</f>
        <v>0</v>
      </c>
      <c r="M233" s="1" t="str">
        <f>IFERROR(VLOOKUP($C233,Таблица!$B$433:$F$442,5,FALSE),"")</f>
        <v/>
      </c>
      <c r="N233" s="1" t="str">
        <f>IFERROR(VLOOKUP($C233,Таблица!$B$433:$E$442,4,FALSE),"")</f>
        <v/>
      </c>
      <c r="O233" s="1">
        <f>IF(E233="",1,E233)*IF(F233="",1,F233)*IF(G233="",1,G233)*IF(H233="",1,H233)*IF(I233="",1,I233)</f>
        <v>1</v>
      </c>
      <c r="P233" s="42"/>
      <c r="Q233" s="1" t="str">
        <f>IF(OR(AND(ISERROR(VLOOKUP($C233,Таблица!$B$433:$E$442,2,FALSE)),$C233&lt;&gt;""),P233&lt;&gt;""),"√","")</f>
        <v/>
      </c>
      <c r="R233" s="249">
        <f t="shared" ref="R233:R235" si="135">IFERROR(ROUND(K233*IF(P233="",N233*O233,P233*O233),2),0)</f>
        <v>0</v>
      </c>
      <c r="S233" s="97">
        <f t="shared" ca="1" si="133"/>
        <v>0</v>
      </c>
      <c r="T233" s="97">
        <f t="shared" ca="1" si="133"/>
        <v>0</v>
      </c>
      <c r="U233" s="84">
        <f t="shared" ca="1" si="133"/>
        <v>0</v>
      </c>
      <c r="V233" s="84">
        <f t="shared" ca="1" si="133"/>
        <v>0</v>
      </c>
      <c r="W233" s="84">
        <f t="shared" ca="1" si="133"/>
        <v>0</v>
      </c>
      <c r="X233" s="88">
        <f t="shared" ca="1" si="134"/>
        <v>0</v>
      </c>
      <c r="Y233" s="88">
        <f t="shared" ca="1" si="134"/>
        <v>0</v>
      </c>
      <c r="Z233" s="88">
        <f t="shared" ca="1" si="134"/>
        <v>0</v>
      </c>
      <c r="AA233" s="88">
        <f t="shared" ca="1" si="134"/>
        <v>0</v>
      </c>
      <c r="AB233" s="88">
        <f t="shared" ca="1" si="134"/>
        <v>0</v>
      </c>
      <c r="AC233" s="139">
        <f t="shared" ref="AC233:AC235" ca="1" si="136">IFERROR(ROUND(R233*(1+$K$236),2)+SUM(X233:AB233),0)</f>
        <v>0</v>
      </c>
      <c r="AE233" s="85"/>
      <c r="AF233" s="85"/>
    </row>
    <row r="234" spans="1:32" x14ac:dyDescent="0.2">
      <c r="A234" s="114" t="str">
        <f>IF(C234="","",MAX(A$207:A233)+1)</f>
        <v/>
      </c>
      <c r="B234" s="1" t="str">
        <f>IFERROR(VLOOKUP($C234,Таблица!$B$445:$E$450,2,FALSE),"")</f>
        <v/>
      </c>
      <c r="C234" s="31"/>
      <c r="D234" s="31"/>
      <c r="E234" s="1"/>
      <c r="F234" s="1"/>
      <c r="G234" s="32"/>
      <c r="H234" s="1"/>
      <c r="I234" s="1"/>
      <c r="J234" s="1" t="str">
        <f>IF($C234="","","")</f>
        <v/>
      </c>
      <c r="K234" s="64"/>
      <c r="L234" s="1">
        <f>IFERROR(VLOOKUP($C234,Таблица!$B$445:$K$450,3,FALSE),0)</f>
        <v>0</v>
      </c>
      <c r="M234" s="1" t="str">
        <f>IFERROR(VLOOKUP($C234,Таблица!$B$445:$F$450,5,FALSE),"")</f>
        <v/>
      </c>
      <c r="N234" s="1" t="str">
        <f>IFERROR(VLOOKUP($C234,Таблица!$B$445:$E$450,4,FALSE),"")</f>
        <v/>
      </c>
      <c r="O234" s="1">
        <f>IF(E234="",1,E234)*IF(F234="",1,F234)*IF(G234="",1,G234)*IF(H234="",1,H234)*IF(I234="",1,I234)</f>
        <v>1</v>
      </c>
      <c r="P234" s="42"/>
      <c r="Q234" s="1" t="str">
        <f>IF(OR(AND(ISERROR(VLOOKUP($C234,Таблица!$B$445:$E$450,2,FALSE)),$C234&lt;&gt;""),P234&lt;&gt;""),"√","")</f>
        <v/>
      </c>
      <c r="R234" s="249">
        <f t="shared" si="135"/>
        <v>0</v>
      </c>
      <c r="S234" s="97">
        <f t="shared" ca="1" si="133"/>
        <v>0</v>
      </c>
      <c r="T234" s="97">
        <f t="shared" ca="1" si="133"/>
        <v>0</v>
      </c>
      <c r="U234" s="84">
        <f t="shared" ca="1" si="133"/>
        <v>0</v>
      </c>
      <c r="V234" s="84">
        <f t="shared" ca="1" si="133"/>
        <v>0</v>
      </c>
      <c r="W234" s="84">
        <f t="shared" ca="1" si="133"/>
        <v>0</v>
      </c>
      <c r="X234" s="88">
        <f t="shared" ca="1" si="134"/>
        <v>0</v>
      </c>
      <c r="Y234" s="88">
        <f t="shared" ca="1" si="134"/>
        <v>0</v>
      </c>
      <c r="Z234" s="88">
        <f t="shared" ca="1" si="134"/>
        <v>0</v>
      </c>
      <c r="AA234" s="88">
        <f t="shared" ca="1" si="134"/>
        <v>0</v>
      </c>
      <c r="AB234" s="88">
        <f t="shared" ca="1" si="134"/>
        <v>0</v>
      </c>
      <c r="AC234" s="139">
        <f t="shared" ca="1" si="136"/>
        <v>0</v>
      </c>
      <c r="AE234" s="85"/>
      <c r="AF234" s="85"/>
    </row>
    <row r="235" spans="1:32" x14ac:dyDescent="0.2">
      <c r="A235" s="114" t="str">
        <f>IF(C235="","",MAX(A$207:A234)+1)</f>
        <v/>
      </c>
      <c r="B235" s="1" t="str">
        <f>IFERROR(VLOOKUP($C235,Таблица!$B$445:$E$450,2,FALSE),"")</f>
        <v/>
      </c>
      <c r="C235" s="31"/>
      <c r="D235" s="31"/>
      <c r="E235" s="1"/>
      <c r="F235" s="1"/>
      <c r="G235" s="32"/>
      <c r="H235" s="1"/>
      <c r="I235" s="1"/>
      <c r="J235" s="1" t="str">
        <f>IF($C235="","","")</f>
        <v/>
      </c>
      <c r="K235" s="64"/>
      <c r="L235" s="1">
        <f>IFERROR(VLOOKUP($C235,Таблица!$B$445:$K$450,3,FALSE),0)</f>
        <v>0</v>
      </c>
      <c r="M235" s="1" t="str">
        <f>IFERROR(VLOOKUP($C235,Таблица!$B$445:$F$450,5,FALSE),"")</f>
        <v/>
      </c>
      <c r="N235" s="1" t="str">
        <f>IFERROR(VLOOKUP($C235,Таблица!$B$445:$E$450,4,FALSE),"")</f>
        <v/>
      </c>
      <c r="O235" s="1">
        <f>IF(E235="",1,E235)*IF(F235="",1,F235)*IF(G235="",1,G235)*IF(H235="",1,H235)*IF(I235="",1,I235)</f>
        <v>1</v>
      </c>
      <c r="P235" s="42"/>
      <c r="Q235" s="1" t="str">
        <f>IF(OR(AND(ISERROR(VLOOKUP($C235,Таблица!$B$445:$E$450,2,FALSE)),$C235&lt;&gt;""),P235&lt;&gt;""),"√","")</f>
        <v/>
      </c>
      <c r="R235" s="249">
        <f t="shared" si="135"/>
        <v>0</v>
      </c>
      <c r="S235" s="97">
        <f t="shared" ca="1" si="133"/>
        <v>0</v>
      </c>
      <c r="T235" s="97">
        <f t="shared" ca="1" si="133"/>
        <v>0</v>
      </c>
      <c r="U235" s="84">
        <f t="shared" ca="1" si="133"/>
        <v>0</v>
      </c>
      <c r="V235" s="84">
        <f t="shared" ca="1" si="133"/>
        <v>0</v>
      </c>
      <c r="W235" s="84">
        <f t="shared" ca="1" si="133"/>
        <v>0</v>
      </c>
      <c r="X235" s="88">
        <f t="shared" ca="1" si="134"/>
        <v>0</v>
      </c>
      <c r="Y235" s="88">
        <f t="shared" ca="1" si="134"/>
        <v>0</v>
      </c>
      <c r="Z235" s="88">
        <f t="shared" ca="1" si="134"/>
        <v>0</v>
      </c>
      <c r="AA235" s="88">
        <f t="shared" ca="1" si="134"/>
        <v>0</v>
      </c>
      <c r="AB235" s="88">
        <f t="shared" ca="1" si="134"/>
        <v>0</v>
      </c>
      <c r="AC235" s="139">
        <f t="shared" ca="1" si="136"/>
        <v>0</v>
      </c>
      <c r="AE235" s="85"/>
      <c r="AF235" s="85"/>
    </row>
    <row r="236" spans="1:32" x14ac:dyDescent="0.2">
      <c r="A236" s="114"/>
      <c r="B236" s="1"/>
      <c r="C236" s="58" t="s">
        <v>1014</v>
      </c>
      <c r="D236" s="15"/>
      <c r="E236" s="1"/>
      <c r="F236" s="1"/>
      <c r="G236" s="1"/>
      <c r="H236" s="1"/>
      <c r="I236" s="1"/>
      <c r="J236" s="1" t="str">
        <f>IF($M$12,"%","")</f>
        <v/>
      </c>
      <c r="K236" s="61">
        <f>IF($C$13=Таблица!$M$9,Таблица!$R$9,IF($C$13=Таблица!$M$10,Таблица!$R$10,1))-1</f>
        <v>0</v>
      </c>
      <c r="L236" s="1"/>
      <c r="M236" s="1"/>
      <c r="N236" s="1"/>
      <c r="O236" s="1"/>
      <c r="P236" s="1"/>
      <c r="Q236" s="1"/>
      <c r="R236" s="249">
        <f>ROUND(SUM(R227:R235)*K236,2)</f>
        <v>0</v>
      </c>
      <c r="S236" s="101"/>
      <c r="T236" s="101"/>
      <c r="U236" s="86"/>
      <c r="V236" s="86"/>
      <c r="W236" s="86"/>
    </row>
    <row r="237" spans="1:32" s="68" customFormat="1" ht="13.5" hidden="1" x14ac:dyDescent="0.25">
      <c r="A237" s="133" t="s">
        <v>636</v>
      </c>
      <c r="B237" s="65"/>
      <c r="C237" s="65" t="s">
        <v>1029</v>
      </c>
      <c r="D237" s="66"/>
      <c r="E237" s="65"/>
      <c r="F237" s="65"/>
      <c r="G237" s="65"/>
      <c r="H237" s="65"/>
      <c r="I237" s="65"/>
      <c r="J237" s="65"/>
      <c r="K237" s="65"/>
      <c r="L237" s="66">
        <v>0</v>
      </c>
      <c r="M237" s="66">
        <v>20</v>
      </c>
      <c r="N237" s="65"/>
      <c r="O237" s="65"/>
      <c r="P237" s="65"/>
      <c r="Q237" s="69"/>
      <c r="R237" s="251"/>
      <c r="S237" s="100">
        <f>SUMIF($M$227:$M$235,"&lt;20",S$227:S$235)</f>
        <v>0</v>
      </c>
      <c r="T237" s="100">
        <f t="shared" ref="T237:AC237" si="137">SUMIF($M$227:$M$235,"&lt;20",T$227:T$235)</f>
        <v>0</v>
      </c>
      <c r="U237" s="100">
        <f t="shared" si="137"/>
        <v>0</v>
      </c>
      <c r="V237" s="100">
        <f t="shared" si="137"/>
        <v>0</v>
      </c>
      <c r="W237" s="100">
        <f t="shared" si="137"/>
        <v>0</v>
      </c>
      <c r="X237" s="100">
        <f t="shared" si="137"/>
        <v>0</v>
      </c>
      <c r="Y237" s="100">
        <f t="shared" si="137"/>
        <v>0</v>
      </c>
      <c r="Z237" s="100">
        <f t="shared" si="137"/>
        <v>0</v>
      </c>
      <c r="AA237" s="100">
        <f t="shared" si="137"/>
        <v>0</v>
      </c>
      <c r="AB237" s="100">
        <f t="shared" si="137"/>
        <v>0</v>
      </c>
      <c r="AC237" s="200">
        <f t="shared" si="137"/>
        <v>0</v>
      </c>
    </row>
    <row r="238" spans="1:32" s="68" customFormat="1" ht="13.5" hidden="1" x14ac:dyDescent="0.25">
      <c r="A238" s="133" t="s">
        <v>636</v>
      </c>
      <c r="B238" s="65"/>
      <c r="C238" s="65" t="s">
        <v>1020</v>
      </c>
      <c r="D238" s="66"/>
      <c r="E238" s="65"/>
      <c r="F238" s="65"/>
      <c r="G238" s="65"/>
      <c r="H238" s="65"/>
      <c r="I238" s="65"/>
      <c r="J238" s="65"/>
      <c r="K238" s="65"/>
      <c r="L238" s="66">
        <v>35</v>
      </c>
      <c r="M238" s="66">
        <v>35</v>
      </c>
      <c r="N238" s="65"/>
      <c r="O238" s="65"/>
      <c r="P238" s="65"/>
      <c r="Q238" s="69"/>
      <c r="R238" s="251"/>
      <c r="S238" s="100">
        <f>SUMIF($M$227:$M$235,"&lt;=35",S$227:S$235)-S237</f>
        <v>0</v>
      </c>
      <c r="T238" s="100">
        <f t="shared" ref="T238:AC238" si="138">SUMIF($M$227:$M$235,"&lt;=35",T$227:T$235)-T237</f>
        <v>0</v>
      </c>
      <c r="U238" s="100">
        <f t="shared" si="138"/>
        <v>0</v>
      </c>
      <c r="V238" s="100">
        <f t="shared" si="138"/>
        <v>0</v>
      </c>
      <c r="W238" s="100">
        <f t="shared" si="138"/>
        <v>0</v>
      </c>
      <c r="X238" s="100">
        <f t="shared" si="138"/>
        <v>0</v>
      </c>
      <c r="Y238" s="100">
        <f t="shared" si="138"/>
        <v>0</v>
      </c>
      <c r="Z238" s="100">
        <f t="shared" si="138"/>
        <v>0</v>
      </c>
      <c r="AA238" s="100">
        <f t="shared" si="138"/>
        <v>0</v>
      </c>
      <c r="AB238" s="100">
        <f t="shared" si="138"/>
        <v>0</v>
      </c>
      <c r="AC238" s="200">
        <f t="shared" si="138"/>
        <v>0</v>
      </c>
    </row>
    <row r="239" spans="1:32" s="68" customFormat="1" ht="13.5" hidden="1" x14ac:dyDescent="0.25">
      <c r="A239" s="133" t="s">
        <v>636</v>
      </c>
      <c r="B239" s="65"/>
      <c r="C239" s="65" t="s">
        <v>1021</v>
      </c>
      <c r="D239" s="66"/>
      <c r="E239" s="65"/>
      <c r="F239" s="65"/>
      <c r="G239" s="65"/>
      <c r="H239" s="65"/>
      <c r="I239" s="65"/>
      <c r="J239" s="65"/>
      <c r="K239" s="65"/>
      <c r="L239" s="66">
        <v>110</v>
      </c>
      <c r="M239" s="66">
        <v>220</v>
      </c>
      <c r="N239" s="65"/>
      <c r="O239" s="65"/>
      <c r="P239" s="65"/>
      <c r="Q239" s="69"/>
      <c r="R239" s="251"/>
      <c r="S239" s="100">
        <f>SUMIF($M$227:$M$235,"&gt;=110",S$227:S$235)</f>
        <v>0</v>
      </c>
      <c r="T239" s="100">
        <f t="shared" ref="T239:AC239" si="139">SUMIF($M$227:$M$235,"&gt;=110",T$227:T$235)</f>
        <v>0</v>
      </c>
      <c r="U239" s="100">
        <f t="shared" si="139"/>
        <v>0</v>
      </c>
      <c r="V239" s="100">
        <f t="shared" si="139"/>
        <v>0</v>
      </c>
      <c r="W239" s="100">
        <f t="shared" si="139"/>
        <v>0</v>
      </c>
      <c r="X239" s="100">
        <f t="shared" si="139"/>
        <v>0</v>
      </c>
      <c r="Y239" s="100">
        <f t="shared" si="139"/>
        <v>0</v>
      </c>
      <c r="Z239" s="100">
        <f t="shared" si="139"/>
        <v>0</v>
      </c>
      <c r="AA239" s="100">
        <f t="shared" si="139"/>
        <v>0</v>
      </c>
      <c r="AB239" s="100">
        <f t="shared" si="139"/>
        <v>0</v>
      </c>
      <c r="AC239" s="200">
        <f t="shared" si="139"/>
        <v>0</v>
      </c>
    </row>
    <row r="240" spans="1:32" x14ac:dyDescent="0.2">
      <c r="A240" s="114"/>
      <c r="B240" s="1"/>
      <c r="C240" s="15" t="s">
        <v>1219</v>
      </c>
      <c r="D240" s="15"/>
      <c r="E240" s="1"/>
      <c r="F240" s="1"/>
      <c r="G240" s="1"/>
      <c r="H240" s="1"/>
      <c r="I240" s="1"/>
      <c r="J240" s="1"/>
      <c r="L240" s="1"/>
      <c r="M240" s="1"/>
      <c r="N240" s="1"/>
      <c r="O240" s="1"/>
      <c r="Q240" s="1"/>
      <c r="R240" s="249">
        <v>0</v>
      </c>
      <c r="S240" s="85"/>
      <c r="T240" s="85"/>
      <c r="U240" s="86"/>
      <c r="V240" s="86"/>
      <c r="W240" s="86"/>
    </row>
    <row r="241" spans="1:32" x14ac:dyDescent="0.2">
      <c r="A241" s="114" t="str">
        <f>IF(C241="","",MAX(A$207:A240)+1)</f>
        <v/>
      </c>
      <c r="B241" s="1" t="str">
        <f>IFERROR(VLOOKUP($C241,Таблица!$B$453:$E$462,2,FALSE),"")</f>
        <v/>
      </c>
      <c r="C241" s="31"/>
      <c r="D241" s="31"/>
      <c r="E241" s="1"/>
      <c r="F241" s="1"/>
      <c r="G241" s="32"/>
      <c r="H241" s="1"/>
      <c r="I241" s="1"/>
      <c r="J241" s="1" t="str">
        <f>IF($C241="","","")</f>
        <v/>
      </c>
      <c r="K241" s="64"/>
      <c r="L241" s="1">
        <f>IFERROR(VLOOKUP($C241,Таблица!$B$453:$K$462,3,FALSE),0)</f>
        <v>0</v>
      </c>
      <c r="M241" s="1" t="str">
        <f>IFERROR(VLOOKUP($C241,Таблица!$B$453:$F$462,5,FALSE),"")</f>
        <v/>
      </c>
      <c r="N241" s="1" t="str">
        <f>IFERROR(VLOOKUP($C241,Таблица!$B$453:$E$462,4,FALSE),"")</f>
        <v/>
      </c>
      <c r="O241" s="1">
        <f>IF(E241="",1,E241)*IF(F241="",1,F241)*IF(G241="",1,G241)*IF(H241="",1,H241)*IF(I241="",1,I241)</f>
        <v>1</v>
      </c>
      <c r="P241" s="42"/>
      <c r="Q241" s="1" t="str">
        <f>IF(OR(AND(ISERROR(VLOOKUP($C241,Таблица!$B$453:$E$462,2,FALSE)),$C241&lt;&gt;""),P241&lt;&gt;""),"√","")</f>
        <v/>
      </c>
      <c r="R241" s="249">
        <f>IFERROR(ROUND(K241*IF(P241="",N241*O241,P241*O241),2),0)</f>
        <v>0</v>
      </c>
      <c r="S241" s="62">
        <f t="shared" ref="S241:W244" ca="1" si="140">ROUND($AC241*S$206%,2)</f>
        <v>0</v>
      </c>
      <c r="T241" s="62">
        <f t="shared" ca="1" si="140"/>
        <v>0</v>
      </c>
      <c r="U241" s="84">
        <f t="shared" ca="1" si="140"/>
        <v>0</v>
      </c>
      <c r="V241" s="84">
        <f t="shared" ca="1" si="140"/>
        <v>0</v>
      </c>
      <c r="W241" s="84">
        <f t="shared" ca="1" si="140"/>
        <v>0</v>
      </c>
      <c r="X241" s="88">
        <f t="shared" ref="X241:AB244" ca="1" si="141">IF($R241="",0,ROUND($R241*X$206*(1+$K$279),2))</f>
        <v>0</v>
      </c>
      <c r="Y241" s="88">
        <f t="shared" ca="1" si="141"/>
        <v>0</v>
      </c>
      <c r="Z241" s="88">
        <f t="shared" ca="1" si="141"/>
        <v>0</v>
      </c>
      <c r="AA241" s="88">
        <f t="shared" ca="1" si="141"/>
        <v>0</v>
      </c>
      <c r="AB241" s="88">
        <f t="shared" ca="1" si="141"/>
        <v>0</v>
      </c>
      <c r="AC241" s="139">
        <f ca="1">IFERROR(ROUND(R241*(1+$K$279),2)+SUM(X241:AB241),0)</f>
        <v>0</v>
      </c>
      <c r="AE241" s="85"/>
      <c r="AF241" s="85"/>
    </row>
    <row r="242" spans="1:32" x14ac:dyDescent="0.2">
      <c r="A242" s="114" t="str">
        <f>IF(C242="","",MAX(A$207:A241)+1)</f>
        <v/>
      </c>
      <c r="B242" s="1" t="str">
        <f>IFERROR(VLOOKUP($C242,Таблица!$B$453:$E$462,2,FALSE),"")</f>
        <v/>
      </c>
      <c r="C242" s="31"/>
      <c r="D242" s="31"/>
      <c r="E242" s="1"/>
      <c r="F242" s="1"/>
      <c r="G242" s="32"/>
      <c r="H242" s="1"/>
      <c r="I242" s="1"/>
      <c r="J242" s="1"/>
      <c r="K242" s="64"/>
      <c r="L242" s="1">
        <f>IFERROR(VLOOKUP($C242,Таблица!$B$453:$K$462,3,FALSE),0)</f>
        <v>0</v>
      </c>
      <c r="M242" s="1" t="str">
        <f>IFERROR(VLOOKUP($C242,Таблица!$B$453:$F$462,5,FALSE),"")</f>
        <v/>
      </c>
      <c r="N242" s="1" t="str">
        <f>IFERROR(VLOOKUP($C242,Таблица!$B$453:$E$462,4,FALSE),"")</f>
        <v/>
      </c>
      <c r="O242" s="1">
        <f>IF(E242="",1,E242)*IF(F242="",1,F242)*IF(G242="",1,G242)*IF(H242="",1,H242)*IF(I242="",1,I242)</f>
        <v>1</v>
      </c>
      <c r="P242" s="42"/>
      <c r="Q242" s="1" t="str">
        <f>IF(OR(AND(ISERROR(VLOOKUP($C242,Таблица!$B$453:$E$462,2,FALSE)),$C242&lt;&gt;""),P242&lt;&gt;""),"√","")</f>
        <v/>
      </c>
      <c r="R242" s="249">
        <f t="shared" ref="R242:R244" si="142">IFERROR(ROUND(K242*IF(P242="",N242*O242,P242*O242),2),0)</f>
        <v>0</v>
      </c>
      <c r="S242" s="62">
        <f t="shared" ca="1" si="140"/>
        <v>0</v>
      </c>
      <c r="T242" s="62">
        <f t="shared" ca="1" si="140"/>
        <v>0</v>
      </c>
      <c r="U242" s="84">
        <f t="shared" ca="1" si="140"/>
        <v>0</v>
      </c>
      <c r="V242" s="84">
        <f t="shared" ca="1" si="140"/>
        <v>0</v>
      </c>
      <c r="W242" s="84">
        <f t="shared" ca="1" si="140"/>
        <v>0</v>
      </c>
      <c r="X242" s="88">
        <f t="shared" ca="1" si="141"/>
        <v>0</v>
      </c>
      <c r="Y242" s="88">
        <f t="shared" ca="1" si="141"/>
        <v>0</v>
      </c>
      <c r="Z242" s="88">
        <f t="shared" ca="1" si="141"/>
        <v>0</v>
      </c>
      <c r="AA242" s="88">
        <f t="shared" ca="1" si="141"/>
        <v>0</v>
      </c>
      <c r="AB242" s="88">
        <f t="shared" ca="1" si="141"/>
        <v>0</v>
      </c>
      <c r="AC242" s="139">
        <f ca="1">IFERROR(ROUND(R242*(1+$K$279),2)+SUM(X242:AB242),0)</f>
        <v>0</v>
      </c>
      <c r="AE242" s="85"/>
      <c r="AF242" s="85"/>
    </row>
    <row r="243" spans="1:32" x14ac:dyDescent="0.2">
      <c r="A243" s="114" t="str">
        <f>IF(C243="","",MAX(A$207:A242)+1)</f>
        <v/>
      </c>
      <c r="B243" s="1" t="str">
        <f>IFERROR(VLOOKUP($C243,Таблица!$B$453:$E$462,2,FALSE),"")</f>
        <v/>
      </c>
      <c r="C243" s="31"/>
      <c r="D243" s="31"/>
      <c r="E243" s="1"/>
      <c r="F243" s="1"/>
      <c r="G243" s="32"/>
      <c r="H243" s="1"/>
      <c r="I243" s="1"/>
      <c r="J243" s="1" t="str">
        <f>IF($C243="","","")</f>
        <v/>
      </c>
      <c r="K243" s="64"/>
      <c r="L243" s="1">
        <f>IFERROR(VLOOKUP($C243,Таблица!$B$453:$K$462,3,FALSE),0)</f>
        <v>0</v>
      </c>
      <c r="M243" s="1" t="str">
        <f>IFERROR(VLOOKUP($C243,Таблица!$B$453:$F$462,5,FALSE),"")</f>
        <v/>
      </c>
      <c r="N243" s="1" t="str">
        <f>IFERROR(VLOOKUP($C243,Таблица!$B$453:$E$462,4,FALSE),"")</f>
        <v/>
      </c>
      <c r="O243" s="1">
        <f>IF(E243="",1,E243)*IF(F243="",1,F243)*IF(G243="",1,G243)*IF(H243="",1,H243)*IF(I243="",1,I243)</f>
        <v>1</v>
      </c>
      <c r="P243" s="42"/>
      <c r="Q243" s="1" t="str">
        <f>IF(OR(AND(ISERROR(VLOOKUP($C243,Таблица!$B$453:$E$462,2,FALSE)),$C243&lt;&gt;""),P243&lt;&gt;""),"√","")</f>
        <v/>
      </c>
      <c r="R243" s="249">
        <f t="shared" si="142"/>
        <v>0</v>
      </c>
      <c r="S243" s="62">
        <f t="shared" ca="1" si="140"/>
        <v>0</v>
      </c>
      <c r="T243" s="62">
        <f t="shared" ca="1" si="140"/>
        <v>0</v>
      </c>
      <c r="U243" s="84">
        <f t="shared" ca="1" si="140"/>
        <v>0</v>
      </c>
      <c r="V243" s="84">
        <f t="shared" ca="1" si="140"/>
        <v>0</v>
      </c>
      <c r="W243" s="84">
        <f t="shared" ca="1" si="140"/>
        <v>0</v>
      </c>
      <c r="X243" s="88">
        <f t="shared" ca="1" si="141"/>
        <v>0</v>
      </c>
      <c r="Y243" s="88">
        <f t="shared" ca="1" si="141"/>
        <v>0</v>
      </c>
      <c r="Z243" s="88">
        <f t="shared" ca="1" si="141"/>
        <v>0</v>
      </c>
      <c r="AA243" s="88">
        <f t="shared" ca="1" si="141"/>
        <v>0</v>
      </c>
      <c r="AB243" s="88">
        <f t="shared" ca="1" si="141"/>
        <v>0</v>
      </c>
      <c r="AC243" s="139">
        <f ca="1">IFERROR(ROUND(R243*(1+$K$279),2)+SUM(X243:AB243),0)</f>
        <v>0</v>
      </c>
      <c r="AE243" s="85"/>
      <c r="AF243" s="85"/>
    </row>
    <row r="244" spans="1:32" x14ac:dyDescent="0.2">
      <c r="A244" s="114" t="str">
        <f>IF(C244="","",MAX(A$207:A243)+1)</f>
        <v/>
      </c>
      <c r="B244" s="1" t="str">
        <f>IFERROR(VLOOKUP($C244,Таблица!$B$453:$E$462,2,FALSE),"")</f>
        <v/>
      </c>
      <c r="C244" s="31"/>
      <c r="D244" s="31"/>
      <c r="E244" s="1"/>
      <c r="F244" s="1"/>
      <c r="G244" s="50"/>
      <c r="H244" s="1"/>
      <c r="I244" s="1"/>
      <c r="J244" s="1" t="str">
        <f>IF($C244="","","")</f>
        <v/>
      </c>
      <c r="K244" s="64"/>
      <c r="L244" s="1">
        <f>IFERROR(VLOOKUP($C244,Таблица!$B$453:$K$462,3,FALSE),0)</f>
        <v>0</v>
      </c>
      <c r="M244" s="1" t="str">
        <f>IFERROR(VLOOKUP($C244,Таблица!$B$453:$F$462,5,FALSE),"")</f>
        <v/>
      </c>
      <c r="N244" s="1" t="str">
        <f>IFERROR(VLOOKUP($C244,Таблица!$B$453:$E$462,4,FALSE),"")</f>
        <v/>
      </c>
      <c r="O244" s="1">
        <f>IF(E244="",1,E244)*IF(F244="",1,F244)*IF(G244="",1,G244)*IF(H244="",1,H244)*IF(I244="",1,I244)</f>
        <v>1</v>
      </c>
      <c r="P244" s="42"/>
      <c r="Q244" s="1" t="str">
        <f>IF(OR(AND(ISERROR(VLOOKUP($C244,Таблица!$B$453:$E$462,2,FALSE)),$C244&lt;&gt;""),P244&lt;&gt;""),"√","")</f>
        <v/>
      </c>
      <c r="R244" s="249">
        <f t="shared" si="142"/>
        <v>0</v>
      </c>
      <c r="S244" s="62">
        <f t="shared" ca="1" si="140"/>
        <v>0</v>
      </c>
      <c r="T244" s="62">
        <f t="shared" ca="1" si="140"/>
        <v>0</v>
      </c>
      <c r="U244" s="84">
        <f t="shared" ca="1" si="140"/>
        <v>0</v>
      </c>
      <c r="V244" s="84">
        <f t="shared" ca="1" si="140"/>
        <v>0</v>
      </c>
      <c r="W244" s="84">
        <f t="shared" ca="1" si="140"/>
        <v>0</v>
      </c>
      <c r="X244" s="88">
        <f t="shared" ca="1" si="141"/>
        <v>0</v>
      </c>
      <c r="Y244" s="88">
        <f t="shared" ca="1" si="141"/>
        <v>0</v>
      </c>
      <c r="Z244" s="88">
        <f t="shared" ca="1" si="141"/>
        <v>0</v>
      </c>
      <c r="AA244" s="88">
        <f t="shared" ca="1" si="141"/>
        <v>0</v>
      </c>
      <c r="AB244" s="88">
        <f t="shared" ca="1" si="141"/>
        <v>0</v>
      </c>
      <c r="AC244" s="139">
        <f ca="1">IFERROR(ROUND(R244*(1+$K$279),2)+SUM(X244:AB244),0)</f>
        <v>0</v>
      </c>
      <c r="AE244" s="85"/>
      <c r="AF244" s="85"/>
    </row>
    <row r="245" spans="1:32" x14ac:dyDescent="0.2">
      <c r="A245" s="114"/>
      <c r="B245" s="1"/>
      <c r="C245" s="15" t="s">
        <v>946</v>
      </c>
      <c r="D245" s="15"/>
      <c r="E245" s="1"/>
      <c r="F245" s="1"/>
      <c r="G245" s="1"/>
      <c r="H245" s="1"/>
      <c r="I245" s="1"/>
      <c r="J245" s="1"/>
      <c r="K245" s="1"/>
      <c r="L245" s="1">
        <f>MAX(L246:L249)</f>
        <v>0</v>
      </c>
      <c r="M245" s="1"/>
      <c r="N245" s="1"/>
      <c r="O245" s="1"/>
      <c r="P245" s="1"/>
      <c r="Q245" s="1"/>
      <c r="R245" s="249">
        <v>0</v>
      </c>
      <c r="S245" s="85"/>
      <c r="T245" s="85"/>
      <c r="U245" s="86"/>
      <c r="V245" s="86"/>
      <c r="W245" s="86"/>
    </row>
    <row r="246" spans="1:32" x14ac:dyDescent="0.2">
      <c r="A246" s="114" t="str">
        <f>IF(C246="","",MAX(A$207:A245)+1)</f>
        <v/>
      </c>
      <c r="B246" s="1" t="str">
        <f>IFERROR(VLOOKUP($C246,Таблица!$B$465:$E$476,2,FALSE),"")</f>
        <v/>
      </c>
      <c r="C246" s="31"/>
      <c r="D246" s="31"/>
      <c r="E246" s="1"/>
      <c r="F246" s="1"/>
      <c r="G246" s="32"/>
      <c r="H246" s="1"/>
      <c r="I246" s="1"/>
      <c r="J246" s="1" t="str">
        <f>IF($C246="","","шт.")</f>
        <v/>
      </c>
      <c r="K246" s="64"/>
      <c r="L246" s="1">
        <f>IFERROR(VLOOKUP($C246,Таблица!$B$465:$K$476,3,FALSE),0)</f>
        <v>0</v>
      </c>
      <c r="M246" s="1" t="str">
        <f>IFERROR(VLOOKUP($C246,Таблица!$B$465:$F$476,5,FALSE),"")</f>
        <v/>
      </c>
      <c r="N246" s="1" t="str">
        <f>IFERROR(VLOOKUP($C246,Таблица!$B$465:$E$476,4,FALSE),"")</f>
        <v/>
      </c>
      <c r="O246" s="1">
        <f>IF(E246="",1,E246)*IF(F246="",1,F246)*IF(G246="",1,G246)*IF(H246="",1,H246)*IF(I246="",1,I246)</f>
        <v>1</v>
      </c>
      <c r="P246" s="42"/>
      <c r="Q246" s="1" t="str">
        <f>IF(OR(AND(ISERROR(VLOOKUP($C246,Таблица!$B$465:$E$476,2,FALSE)),$C246&lt;&gt;""),P246&lt;&gt;""),"√","")</f>
        <v/>
      </c>
      <c r="R246" s="249">
        <f>IFERROR(ROUND(K246*IF(P246="",N246*O246,P246*O246),2),0)</f>
        <v>0</v>
      </c>
      <c r="S246" s="62">
        <f t="shared" ref="S246:W249" ca="1" si="143">ROUND($AC246*S$206%,2)</f>
        <v>0</v>
      </c>
      <c r="T246" s="62">
        <f t="shared" ca="1" si="143"/>
        <v>0</v>
      </c>
      <c r="U246" s="84">
        <f t="shared" ca="1" si="143"/>
        <v>0</v>
      </c>
      <c r="V246" s="84">
        <f t="shared" ca="1" si="143"/>
        <v>0</v>
      </c>
      <c r="W246" s="84">
        <f t="shared" ca="1" si="143"/>
        <v>0</v>
      </c>
      <c r="X246" s="88">
        <f t="shared" ref="X246:AB249" ca="1" si="144">IF($R246="",0,ROUND($R246*X$206*(1+$K$279),2))</f>
        <v>0</v>
      </c>
      <c r="Y246" s="88">
        <f t="shared" ca="1" si="144"/>
        <v>0</v>
      </c>
      <c r="Z246" s="88">
        <f t="shared" ca="1" si="144"/>
        <v>0</v>
      </c>
      <c r="AA246" s="88">
        <f t="shared" ca="1" si="144"/>
        <v>0</v>
      </c>
      <c r="AB246" s="88">
        <f t="shared" ca="1" si="144"/>
        <v>0</v>
      </c>
      <c r="AC246" s="139">
        <f ca="1">IFERROR(ROUND(R246*(1+$K$279),2)+SUM(X246:AB246),0)</f>
        <v>0</v>
      </c>
      <c r="AE246" s="85"/>
      <c r="AF246" s="85"/>
    </row>
    <row r="247" spans="1:32" x14ac:dyDescent="0.2">
      <c r="A247" s="114" t="str">
        <f>IF(C247="","",MAX(A$207:A246)+1)</f>
        <v/>
      </c>
      <c r="B247" s="1" t="str">
        <f>IFERROR(VLOOKUP($C247,Таблица!$B$465:$E$476,2,FALSE),"")</f>
        <v/>
      </c>
      <c r="C247" s="31"/>
      <c r="D247" s="31"/>
      <c r="E247" s="1"/>
      <c r="F247" s="1"/>
      <c r="G247" s="32"/>
      <c r="H247" s="1"/>
      <c r="I247" s="1"/>
      <c r="J247" s="1" t="str">
        <f>IF($C247="","","шт.")</f>
        <v/>
      </c>
      <c r="K247" s="64"/>
      <c r="L247" s="1">
        <f>IFERROR(VLOOKUP($C247,Таблица!$B$465:$K$476,3,FALSE),0)</f>
        <v>0</v>
      </c>
      <c r="M247" s="1" t="str">
        <f>IFERROR(VLOOKUP($C247,Таблица!$B$465:$F$476,5,FALSE),"")</f>
        <v/>
      </c>
      <c r="N247" s="1" t="str">
        <f>IFERROR(VLOOKUP($C247,Таблица!$B$465:$E$476,4,FALSE),"")</f>
        <v/>
      </c>
      <c r="O247" s="1">
        <f>IF(E247="",1,E247)*IF(F247="",1,F247)*IF(G247="",1,G247)*IF(H247="",1,H247)*IF(I247="",1,I247)</f>
        <v>1</v>
      </c>
      <c r="P247" s="42"/>
      <c r="Q247" s="1" t="str">
        <f>IF(OR(AND(ISERROR(VLOOKUP($C247,Таблица!$B$465:$E$476,2,FALSE)),$C247&lt;&gt;""),P247&lt;&gt;""),"√","")</f>
        <v/>
      </c>
      <c r="R247" s="249">
        <f t="shared" ref="R247:R249" si="145">IFERROR(ROUND(K247*IF(P247="",N247*O247,P247*O247),2),0)</f>
        <v>0</v>
      </c>
      <c r="S247" s="62">
        <f t="shared" ca="1" si="143"/>
        <v>0</v>
      </c>
      <c r="T247" s="62">
        <f t="shared" ca="1" si="143"/>
        <v>0</v>
      </c>
      <c r="U247" s="84">
        <f t="shared" ca="1" si="143"/>
        <v>0</v>
      </c>
      <c r="V247" s="84">
        <f t="shared" ca="1" si="143"/>
        <v>0</v>
      </c>
      <c r="W247" s="84">
        <f t="shared" ca="1" si="143"/>
        <v>0</v>
      </c>
      <c r="X247" s="88">
        <f t="shared" ca="1" si="144"/>
        <v>0</v>
      </c>
      <c r="Y247" s="88">
        <f t="shared" ca="1" si="144"/>
        <v>0</v>
      </c>
      <c r="Z247" s="88">
        <f t="shared" ca="1" si="144"/>
        <v>0</v>
      </c>
      <c r="AA247" s="88">
        <f t="shared" ca="1" si="144"/>
        <v>0</v>
      </c>
      <c r="AB247" s="88">
        <f t="shared" ca="1" si="144"/>
        <v>0</v>
      </c>
      <c r="AC247" s="139">
        <f ca="1">IFERROR(ROUND(R247*(1+$K$279),2)+SUM(X247:AB247),0)</f>
        <v>0</v>
      </c>
      <c r="AE247" s="85"/>
      <c r="AF247" s="85"/>
    </row>
    <row r="248" spans="1:32" x14ac:dyDescent="0.2">
      <c r="A248" s="114" t="str">
        <f>IF(C248="","",MAX(A$207:A247)+1)</f>
        <v/>
      </c>
      <c r="B248" s="1" t="str">
        <f>IFERROR(VLOOKUP($C248,Таблица!$B$465:$E$476,2,FALSE),"")</f>
        <v/>
      </c>
      <c r="C248" s="31"/>
      <c r="D248" s="31"/>
      <c r="E248" s="1"/>
      <c r="F248" s="1"/>
      <c r="G248" s="32"/>
      <c r="H248" s="1"/>
      <c r="I248" s="1"/>
      <c r="J248" s="1" t="str">
        <f>IF($C248="","","шт.")</f>
        <v/>
      </c>
      <c r="K248" s="64"/>
      <c r="L248" s="1">
        <f>IFERROR(VLOOKUP($C248,Таблица!$B$465:$K$476,3,FALSE),0)</f>
        <v>0</v>
      </c>
      <c r="M248" s="1" t="str">
        <f>IFERROR(VLOOKUP($C248,Таблица!$B$465:$F$476,5,FALSE),"")</f>
        <v/>
      </c>
      <c r="N248" s="1" t="str">
        <f>IFERROR(VLOOKUP($C248,Таблица!$B$465:$E$476,4,FALSE),"")</f>
        <v/>
      </c>
      <c r="O248" s="1">
        <f>IF(E248="",1,E248)*IF(F248="",1,F248)*IF(G248="",1,G248)*IF(H248="",1,H248)*IF(I248="",1,I248)</f>
        <v>1</v>
      </c>
      <c r="P248" s="42"/>
      <c r="Q248" s="1" t="str">
        <f>IF(OR(AND(ISERROR(VLOOKUP($C248,Таблица!$B$465:$E$476,2,FALSE)),$C248&lt;&gt;""),P248&lt;&gt;""),"√","")</f>
        <v/>
      </c>
      <c r="R248" s="249">
        <f t="shared" si="145"/>
        <v>0</v>
      </c>
      <c r="S248" s="62">
        <f t="shared" ca="1" si="143"/>
        <v>0</v>
      </c>
      <c r="T248" s="62">
        <f t="shared" ca="1" si="143"/>
        <v>0</v>
      </c>
      <c r="U248" s="84">
        <f t="shared" ca="1" si="143"/>
        <v>0</v>
      </c>
      <c r="V248" s="84">
        <f t="shared" ca="1" si="143"/>
        <v>0</v>
      </c>
      <c r="W248" s="84">
        <f t="shared" ca="1" si="143"/>
        <v>0</v>
      </c>
      <c r="X248" s="88">
        <f t="shared" ca="1" si="144"/>
        <v>0</v>
      </c>
      <c r="Y248" s="88">
        <f t="shared" ca="1" si="144"/>
        <v>0</v>
      </c>
      <c r="Z248" s="88">
        <f t="shared" ca="1" si="144"/>
        <v>0</v>
      </c>
      <c r="AA248" s="88">
        <f t="shared" ca="1" si="144"/>
        <v>0</v>
      </c>
      <c r="AB248" s="88">
        <f t="shared" ca="1" si="144"/>
        <v>0</v>
      </c>
      <c r="AC248" s="139">
        <f ca="1">IFERROR(ROUND(R248*(1+$K$279),2)+SUM(X248:AB248),0)</f>
        <v>0</v>
      </c>
      <c r="AE248" s="85"/>
      <c r="AF248" s="85"/>
    </row>
    <row r="249" spans="1:32" x14ac:dyDescent="0.2">
      <c r="A249" s="114" t="str">
        <f>IF(C249="","",MAX(A$207:A248)+1)</f>
        <v/>
      </c>
      <c r="B249" s="1" t="str">
        <f>IFERROR(VLOOKUP($C249,Таблица!$B$465:$E$476,2,FALSE),"")</f>
        <v/>
      </c>
      <c r="C249" s="31"/>
      <c r="D249" s="31"/>
      <c r="E249" s="1"/>
      <c r="F249" s="1"/>
      <c r="G249" s="32"/>
      <c r="H249" s="1"/>
      <c r="I249" s="1"/>
      <c r="J249" s="1" t="str">
        <f>IF($C249="","","шт.")</f>
        <v/>
      </c>
      <c r="K249" s="64"/>
      <c r="L249" s="1">
        <f>IFERROR(VLOOKUP($C249,Таблица!$B$465:$K$476,3,FALSE),0)</f>
        <v>0</v>
      </c>
      <c r="M249" s="1" t="str">
        <f>IFERROR(VLOOKUP($C249,Таблица!$B$465:$F$476,5,FALSE),"")</f>
        <v/>
      </c>
      <c r="N249" s="1" t="str">
        <f>IFERROR(VLOOKUP($C249,Таблица!$B$465:$E$476,4,FALSE),"")</f>
        <v/>
      </c>
      <c r="O249" s="1">
        <f>IF(E249="",1,E249)*IF(F249="",1,F249)*IF(G249="",1,G249)*IF(H249="",1,H249)*IF(I249="",1,I249)</f>
        <v>1</v>
      </c>
      <c r="P249" s="42"/>
      <c r="Q249" s="1" t="str">
        <f>IF(OR(AND(ISERROR(VLOOKUP($C249,Таблица!$B$465:$E$476,2,FALSE)),$C249&lt;&gt;""),P249&lt;&gt;""),"√","")</f>
        <v/>
      </c>
      <c r="R249" s="249">
        <f t="shared" si="145"/>
        <v>0</v>
      </c>
      <c r="S249" s="62">
        <f t="shared" ca="1" si="143"/>
        <v>0</v>
      </c>
      <c r="T249" s="62">
        <f t="shared" ca="1" si="143"/>
        <v>0</v>
      </c>
      <c r="U249" s="84">
        <f t="shared" ca="1" si="143"/>
        <v>0</v>
      </c>
      <c r="V249" s="84">
        <f t="shared" ca="1" si="143"/>
        <v>0</v>
      </c>
      <c r="W249" s="84">
        <f t="shared" ca="1" si="143"/>
        <v>0</v>
      </c>
      <c r="X249" s="88">
        <f t="shared" ca="1" si="144"/>
        <v>0</v>
      </c>
      <c r="Y249" s="88">
        <f t="shared" ca="1" si="144"/>
        <v>0</v>
      </c>
      <c r="Z249" s="88">
        <f t="shared" ca="1" si="144"/>
        <v>0</v>
      </c>
      <c r="AA249" s="88">
        <f t="shared" ca="1" si="144"/>
        <v>0</v>
      </c>
      <c r="AB249" s="88">
        <f t="shared" ca="1" si="144"/>
        <v>0</v>
      </c>
      <c r="AC249" s="139">
        <f ca="1">IFERROR(ROUND(R249*(1+$K$279),2)+SUM(X249:AB249),0)</f>
        <v>0</v>
      </c>
      <c r="AE249" s="85"/>
      <c r="AF249" s="85"/>
    </row>
    <row r="250" spans="1:32" x14ac:dyDescent="0.2">
      <c r="A250" s="114"/>
      <c r="B250" s="1"/>
      <c r="C250" s="1" t="s">
        <v>1023</v>
      </c>
      <c r="D250" s="15"/>
      <c r="E250" s="1"/>
      <c r="F250" s="1"/>
      <c r="G250" s="1"/>
      <c r="H250" s="1"/>
      <c r="I250" s="1"/>
      <c r="J250" s="1" t="str">
        <f>IF($M$12,"%","")</f>
        <v/>
      </c>
      <c r="K250" s="12">
        <f>IF($C$12=Таблица!$M$7,Таблица!$R$7,IF($C$12=Таблица!$M$8,Таблица!$R$8,1))-1</f>
        <v>0</v>
      </c>
      <c r="L250" s="1"/>
      <c r="M250" s="1"/>
      <c r="N250" s="1"/>
      <c r="O250" s="1"/>
      <c r="P250" s="1"/>
      <c r="Q250" s="1"/>
      <c r="R250" s="249">
        <f>ROUND(SUM(R241:R249)*K250,2)</f>
        <v>0</v>
      </c>
      <c r="S250" s="85"/>
      <c r="T250" s="85"/>
      <c r="U250" s="86"/>
      <c r="V250" s="86"/>
      <c r="W250" s="86"/>
    </row>
    <row r="251" spans="1:32" s="68" customFormat="1" hidden="1" x14ac:dyDescent="0.2">
      <c r="A251" s="133" t="s">
        <v>636</v>
      </c>
      <c r="B251" s="65"/>
      <c r="C251" s="65" t="s">
        <v>1028</v>
      </c>
      <c r="D251" s="66"/>
      <c r="E251" s="65"/>
      <c r="F251" s="65"/>
      <c r="G251" s="65"/>
      <c r="H251" s="65"/>
      <c r="I251" s="65"/>
      <c r="J251" s="65"/>
      <c r="K251" s="65"/>
      <c r="L251" s="65">
        <v>0</v>
      </c>
      <c r="M251" s="65">
        <v>20</v>
      </c>
      <c r="N251" s="65"/>
      <c r="O251" s="65"/>
      <c r="P251" s="65"/>
      <c r="Q251" s="69"/>
      <c r="R251" s="251"/>
      <c r="S251" s="100">
        <f t="shared" ref="S251:AB251" si="146">(IF(AND($M$241&gt;=$L$263,$M$241&lt;=$M$263),S$241,0)+IF(AND($M$242&gt;=$L$263,$M$242&lt;=$M$263),S$242,0)+IF(AND($M$243&gt;=$L$263,$M$243&lt;=$M$263),S$243,0)+IF(AND($M$244&gt;=$L$263,$M$244&lt;=$M$263),S$244,0)+IF(AND($M$246&gt;=$L$263,$M$246&lt;=$M$263),S$246,0)+IF(AND($M$247&gt;=$L$263,$M$247&lt;=$M$263),S$247,0)+IF(AND($M$248&gt;=$L$263,$M$248&lt;=$M$263),S$248,0)+IF(AND($M$249&gt;=$L$263,$M$249&lt;=$M$263),S$249,0))</f>
        <v>0</v>
      </c>
      <c r="T251" s="100">
        <f t="shared" si="146"/>
        <v>0</v>
      </c>
      <c r="U251" s="100">
        <f t="shared" si="146"/>
        <v>0</v>
      </c>
      <c r="V251" s="100">
        <f t="shared" si="146"/>
        <v>0</v>
      </c>
      <c r="W251" s="100">
        <f t="shared" si="146"/>
        <v>0</v>
      </c>
      <c r="X251" s="100">
        <f t="shared" si="146"/>
        <v>0</v>
      </c>
      <c r="Y251" s="100">
        <f t="shared" si="146"/>
        <v>0</v>
      </c>
      <c r="Z251" s="100">
        <f t="shared" si="146"/>
        <v>0</v>
      </c>
      <c r="AA251" s="100">
        <f t="shared" si="146"/>
        <v>0</v>
      </c>
      <c r="AB251" s="100">
        <f t="shared" si="146"/>
        <v>0</v>
      </c>
    </row>
    <row r="252" spans="1:32" s="68" customFormat="1" hidden="1" x14ac:dyDescent="0.2">
      <c r="A252" s="133" t="s">
        <v>636</v>
      </c>
      <c r="B252" s="65"/>
      <c r="C252" s="65" t="s">
        <v>1020</v>
      </c>
      <c r="D252" s="66"/>
      <c r="E252" s="65"/>
      <c r="F252" s="65"/>
      <c r="G252" s="65"/>
      <c r="H252" s="65"/>
      <c r="I252" s="65"/>
      <c r="J252" s="65"/>
      <c r="K252" s="65"/>
      <c r="L252" s="65">
        <v>35</v>
      </c>
      <c r="M252" s="65">
        <v>35</v>
      </c>
      <c r="N252" s="65"/>
      <c r="O252" s="65"/>
      <c r="P252" s="65"/>
      <c r="Q252" s="69"/>
      <c r="R252" s="251"/>
      <c r="S252" s="100">
        <f t="shared" ref="S252:AB252" si="147">(IF(AND($M$241&gt;=$L$264,$M$241&lt;=$M$264),S$241,0)+IF(AND($M$242&gt;=$L$264,$M$242&lt;=$M$264),S$242,0)+IF(AND($M$243&gt;=$L$264,$M$243&lt;=$M$264),S$243,0)+IF(AND($M$244&gt;=$L$264,$M$244&lt;=$M$264),S$244,0)+IF(AND($M$246&gt;=$L$264,$M$246&lt;=$M$264),S$246,0)+IF(AND($M$247&gt;=$L$264,$M$247&lt;=$M$264),S$247,0)+IF(AND($M$248&gt;=$L$264,$M$248&lt;=$M$264),S$248,0)+IF(AND($M$249&gt;=$L$264,$M$249&lt;=$M$264),S$249,0))</f>
        <v>0</v>
      </c>
      <c r="T252" s="100">
        <f t="shared" si="147"/>
        <v>0</v>
      </c>
      <c r="U252" s="100">
        <f t="shared" si="147"/>
        <v>0</v>
      </c>
      <c r="V252" s="100">
        <f t="shared" si="147"/>
        <v>0</v>
      </c>
      <c r="W252" s="100">
        <f t="shared" si="147"/>
        <v>0</v>
      </c>
      <c r="X252" s="100">
        <f t="shared" si="147"/>
        <v>0</v>
      </c>
      <c r="Y252" s="100">
        <f t="shared" si="147"/>
        <v>0</v>
      </c>
      <c r="Z252" s="100">
        <f t="shared" si="147"/>
        <v>0</v>
      </c>
      <c r="AA252" s="100">
        <f t="shared" si="147"/>
        <v>0</v>
      </c>
      <c r="AB252" s="100">
        <f t="shared" si="147"/>
        <v>0</v>
      </c>
    </row>
    <row r="253" spans="1:32" s="68" customFormat="1" hidden="1" x14ac:dyDescent="0.2">
      <c r="A253" s="133" t="s">
        <v>636</v>
      </c>
      <c r="B253" s="65"/>
      <c r="C253" s="65" t="s">
        <v>1021</v>
      </c>
      <c r="D253" s="66"/>
      <c r="E253" s="65"/>
      <c r="F253" s="65"/>
      <c r="G253" s="65"/>
      <c r="H253" s="65"/>
      <c r="I253" s="65"/>
      <c r="J253" s="65"/>
      <c r="K253" s="65"/>
      <c r="L253" s="65">
        <v>110</v>
      </c>
      <c r="M253" s="65">
        <v>220</v>
      </c>
      <c r="N253" s="65"/>
      <c r="O253" s="65"/>
      <c r="P253" s="65"/>
      <c r="Q253" s="69"/>
      <c r="R253" s="251"/>
      <c r="S253" s="100">
        <f t="shared" ref="S253:AB253" si="148">(IF(AND($M$241&gt;=$L$265,$M$241&lt;=$M$265),S$241,0)+IF(AND($M$242&gt;=$L$265,$M$242&lt;=$M$265),S$242,0)+IF(AND($M$243&gt;=$L$265,$M$243&lt;=$M$265),S$243,0)+IF(AND($M$244&gt;=$L$265,$M$244&lt;=$M$265),S$244,0)+IF(AND($M$246&gt;=$L$265,$M$246&lt;=$M$265),S$246,0)+IF(AND($M$247&gt;=$L$265,$M$247&lt;=$M$265),S$247,0)+IF(AND($M$248&gt;=$L$265,$M$248&lt;=$M$265),S$248,0)+IF(AND($M$249&gt;=$L$265,$M$249&lt;=$M$265),S$249,0))</f>
        <v>0</v>
      </c>
      <c r="T253" s="100">
        <f t="shared" si="148"/>
        <v>0</v>
      </c>
      <c r="U253" s="100">
        <f t="shared" si="148"/>
        <v>0</v>
      </c>
      <c r="V253" s="100">
        <f t="shared" si="148"/>
        <v>0</v>
      </c>
      <c r="W253" s="100">
        <f t="shared" si="148"/>
        <v>0</v>
      </c>
      <c r="X253" s="100">
        <f t="shared" si="148"/>
        <v>0</v>
      </c>
      <c r="Y253" s="100">
        <f t="shared" si="148"/>
        <v>0</v>
      </c>
      <c r="Z253" s="100">
        <f t="shared" si="148"/>
        <v>0</v>
      </c>
      <c r="AA253" s="100">
        <f t="shared" si="148"/>
        <v>0</v>
      </c>
      <c r="AB253" s="100">
        <f t="shared" si="148"/>
        <v>0</v>
      </c>
    </row>
    <row r="254" spans="1:32" x14ac:dyDescent="0.2">
      <c r="A254" s="114"/>
      <c r="B254" s="1"/>
      <c r="C254" s="15" t="s">
        <v>928</v>
      </c>
      <c r="D254" s="15"/>
      <c r="E254" s="1"/>
      <c r="F254" s="1"/>
      <c r="G254" s="1"/>
      <c r="H254" s="1"/>
      <c r="I254" s="1"/>
      <c r="J254" s="1"/>
      <c r="K254" s="1"/>
      <c r="L254" s="1">
        <f>MAX(L255:L262,L267:L270,L272:L273,L275:L278)</f>
        <v>0</v>
      </c>
      <c r="M254" s="1"/>
      <c r="N254" s="1"/>
      <c r="O254" s="1"/>
      <c r="P254" s="1"/>
      <c r="Q254" s="1"/>
      <c r="R254" s="249">
        <v>0</v>
      </c>
      <c r="S254" s="85"/>
      <c r="T254" s="85"/>
      <c r="U254" s="86"/>
      <c r="V254" s="86"/>
      <c r="W254" s="86"/>
    </row>
    <row r="255" spans="1:32" ht="76.5" x14ac:dyDescent="0.2">
      <c r="A255" s="114">
        <f>IF(C255="","",MAX(A$207:A254)+1)</f>
        <v>1</v>
      </c>
      <c r="B255" s="1" t="str">
        <f>IFERROR(VLOOKUP($C255,Таблица!$B$479:$E$498,2,FALSE),"")</f>
        <v>18</v>
      </c>
      <c r="C255" s="48" t="s">
        <v>1138</v>
      </c>
      <c r="D255" s="31" t="s">
        <v>1421</v>
      </c>
      <c r="E255" s="1"/>
      <c r="F255" s="1"/>
      <c r="G255" s="32"/>
      <c r="H255" s="1"/>
      <c r="I255" s="1"/>
      <c r="J255" s="1" t="str">
        <f t="shared" ref="J255:J278" si="149">IF($C255="","","шт.")</f>
        <v>шт.</v>
      </c>
      <c r="K255" s="64">
        <v>2</v>
      </c>
      <c r="L255" s="1">
        <f>IFERROR(VLOOKUP($C255,Таблица!$B$479:$K$498,3,FALSE),0)</f>
        <v>0</v>
      </c>
      <c r="M255" s="1">
        <f>IFERROR(VLOOKUP($C255,Таблица!$B$479:$F$498,5,FALSE),"")</f>
        <v>110</v>
      </c>
      <c r="N255" s="56">
        <f>IFERROR(VLOOKUP($C255,Таблица!$B$479:$E$498,4,FALSE),"")</f>
        <v>7200</v>
      </c>
      <c r="O255" s="1">
        <f t="shared" ref="O255:O262" si="150">IF(E255="",1,E255)*IF(F255="",1,F255)*IF(G255="",1,G255)*IF(H255="",1,H255)*IF(I255="",1,I255)</f>
        <v>1</v>
      </c>
      <c r="P255" s="51">
        <v>1196.7837050000001</v>
      </c>
      <c r="Q255" s="11" t="str">
        <f>IF(OR(AND(ISERROR(VLOOKUP($C255,Таблица!$B$479:$E$498,2,FALSE)),$C255&lt;&gt;""),P255&lt;&gt;""),"V","")</f>
        <v>V</v>
      </c>
      <c r="R255" s="249">
        <f>IFERROR(ROUND(K255*IF(P255="",N255*O255,P255*O255),2),0)</f>
        <v>2393.5700000000002</v>
      </c>
      <c r="S255" s="62">
        <f t="shared" ref="S255:W262" ca="1" si="151">ROUND($AC255*S$206%,2)</f>
        <v>605.22</v>
      </c>
      <c r="T255" s="62">
        <f t="shared" ca="1" si="151"/>
        <v>1911.22</v>
      </c>
      <c r="U255" s="84">
        <f t="shared" ca="1" si="151"/>
        <v>127.41</v>
      </c>
      <c r="V255" s="84">
        <f t="shared" ca="1" si="151"/>
        <v>254.83</v>
      </c>
      <c r="W255" s="84">
        <f t="shared" ca="1" si="151"/>
        <v>286.68</v>
      </c>
      <c r="X255" s="88">
        <f t="shared" ref="X255:AB262" ca="1" si="152">IF($R255="",0,ROUND($R255*X$206*(1+$K$279),2))</f>
        <v>215.42</v>
      </c>
      <c r="Y255" s="88">
        <f t="shared" ca="1" si="152"/>
        <v>93.35</v>
      </c>
      <c r="Z255" s="88">
        <f t="shared" ca="1" si="152"/>
        <v>203.45</v>
      </c>
      <c r="AA255" s="88">
        <f t="shared" ca="1" si="152"/>
        <v>76.12</v>
      </c>
      <c r="AB255" s="88">
        <f t="shared" ca="1" si="152"/>
        <v>203.45</v>
      </c>
      <c r="AC255" s="139">
        <f t="shared" ref="AC255:AC262" ca="1" si="153">IFERROR(ROUND(R255*(1+$K$279),2)+SUM(X255:AB255),0)</f>
        <v>3185.36</v>
      </c>
      <c r="AD255" s="205">
        <f>IFERROR(VLOOKUP($C255,Таблица!$B$479:$L$498,11,FALSE),0)</f>
        <v>1</v>
      </c>
      <c r="AE255" s="85"/>
      <c r="AF255" s="85"/>
    </row>
    <row r="256" spans="1:32" x14ac:dyDescent="0.2">
      <c r="A256" s="114" t="str">
        <f>IF(C256="","",MAX(A$207:A255)+1)</f>
        <v/>
      </c>
      <c r="B256" s="1" t="str">
        <f>IFERROR(VLOOKUP($C256,Таблица!$B$479:$E$498,2,FALSE),"")</f>
        <v/>
      </c>
      <c r="C256" s="31"/>
      <c r="D256" s="31"/>
      <c r="E256" s="1"/>
      <c r="F256" s="1"/>
      <c r="G256" s="32"/>
      <c r="H256" s="1"/>
      <c r="I256" s="1"/>
      <c r="J256" s="1" t="str">
        <f t="shared" si="149"/>
        <v/>
      </c>
      <c r="K256" s="64"/>
      <c r="L256" s="1">
        <f>IFERROR(VLOOKUP($C256,Таблица!$B$479:$K$498,3,FALSE),0)</f>
        <v>0</v>
      </c>
      <c r="M256" s="1" t="str">
        <f>IFERROR(VLOOKUP($C256,Таблица!$B$479:$F$498,5,FALSE),"")</f>
        <v/>
      </c>
      <c r="N256" s="1" t="str">
        <f>IFERROR(VLOOKUP($C256,Таблица!$B$479:$E$498,4,FALSE),"")</f>
        <v/>
      </c>
      <c r="O256" s="1">
        <f t="shared" si="150"/>
        <v>1</v>
      </c>
      <c r="P256" s="42"/>
      <c r="Q256" s="11" t="str">
        <f>IF(OR(AND(ISERROR(VLOOKUP($C256,Таблица!$B$479:$E$498,2,FALSE)),$C256&lt;&gt;""),P256&lt;&gt;""),"V","")</f>
        <v/>
      </c>
      <c r="R256" s="249">
        <f t="shared" ref="R256:R262" si="154">IFERROR(ROUND(K256*IF(P256="",N256*O256,P256*O256),2),0)</f>
        <v>0</v>
      </c>
      <c r="S256" s="62">
        <f t="shared" ca="1" si="151"/>
        <v>0</v>
      </c>
      <c r="T256" s="62">
        <f t="shared" ca="1" si="151"/>
        <v>0</v>
      </c>
      <c r="U256" s="84">
        <f t="shared" ca="1" si="151"/>
        <v>0</v>
      </c>
      <c r="V256" s="84">
        <f t="shared" ca="1" si="151"/>
        <v>0</v>
      </c>
      <c r="W256" s="84">
        <f t="shared" ca="1" si="151"/>
        <v>0</v>
      </c>
      <c r="X256" s="88">
        <f t="shared" ca="1" si="152"/>
        <v>0</v>
      </c>
      <c r="Y256" s="88">
        <f t="shared" ca="1" si="152"/>
        <v>0</v>
      </c>
      <c r="Z256" s="88">
        <f t="shared" ca="1" si="152"/>
        <v>0</v>
      </c>
      <c r="AA256" s="88">
        <f t="shared" ca="1" si="152"/>
        <v>0</v>
      </c>
      <c r="AB256" s="88">
        <f t="shared" ca="1" si="152"/>
        <v>0</v>
      </c>
      <c r="AC256" s="139">
        <f t="shared" ca="1" si="153"/>
        <v>0</v>
      </c>
      <c r="AD256" s="205">
        <f>IFERROR(VLOOKUP($C256,Таблица!$B$479:$L$498,11,FALSE),0)</f>
        <v>0</v>
      </c>
      <c r="AE256" s="85"/>
      <c r="AF256" s="85"/>
    </row>
    <row r="257" spans="1:32" x14ac:dyDescent="0.2">
      <c r="A257" s="114" t="str">
        <f>IF(C257="","",MAX(A$207:A256)+1)</f>
        <v/>
      </c>
      <c r="B257" s="1" t="str">
        <f>IFERROR(VLOOKUP($C257,Таблица!$B$479:$E$498,2,FALSE),"")</f>
        <v/>
      </c>
      <c r="C257" s="31"/>
      <c r="D257" s="31"/>
      <c r="E257" s="1"/>
      <c r="F257" s="1"/>
      <c r="G257" s="32"/>
      <c r="H257" s="1"/>
      <c r="I257" s="1"/>
      <c r="J257" s="1" t="str">
        <f t="shared" si="149"/>
        <v/>
      </c>
      <c r="K257" s="64"/>
      <c r="L257" s="1">
        <f>IFERROR(VLOOKUP($C257,Таблица!$B$479:$K$498,3,FALSE),0)</f>
        <v>0</v>
      </c>
      <c r="M257" s="1" t="str">
        <f>IFERROR(VLOOKUP($C257,Таблица!$B$479:$F$498,5,FALSE),"")</f>
        <v/>
      </c>
      <c r="N257" s="1" t="str">
        <f>IFERROR(VLOOKUP($C257,Таблица!$B$479:$E$498,4,FALSE),"")</f>
        <v/>
      </c>
      <c r="O257" s="1">
        <f t="shared" si="150"/>
        <v>1</v>
      </c>
      <c r="P257" s="42"/>
      <c r="Q257" s="11" t="str">
        <f>IF(OR(AND(ISERROR(VLOOKUP($C257,Таблица!$B$479:$E$498,2,FALSE)),$C257&lt;&gt;""),P257&lt;&gt;""),"V","")</f>
        <v/>
      </c>
      <c r="R257" s="249">
        <f t="shared" si="154"/>
        <v>0</v>
      </c>
      <c r="S257" s="62">
        <f t="shared" ca="1" si="151"/>
        <v>0</v>
      </c>
      <c r="T257" s="62">
        <f t="shared" ca="1" si="151"/>
        <v>0</v>
      </c>
      <c r="U257" s="84">
        <f t="shared" ca="1" si="151"/>
        <v>0</v>
      </c>
      <c r="V257" s="84">
        <f t="shared" ca="1" si="151"/>
        <v>0</v>
      </c>
      <c r="W257" s="84">
        <f t="shared" ca="1" si="151"/>
        <v>0</v>
      </c>
      <c r="X257" s="88">
        <f t="shared" ca="1" si="152"/>
        <v>0</v>
      </c>
      <c r="Y257" s="88">
        <f t="shared" ca="1" si="152"/>
        <v>0</v>
      </c>
      <c r="Z257" s="88">
        <f t="shared" ca="1" si="152"/>
        <v>0</v>
      </c>
      <c r="AA257" s="88">
        <f t="shared" ca="1" si="152"/>
        <v>0</v>
      </c>
      <c r="AB257" s="88">
        <f t="shared" ca="1" si="152"/>
        <v>0</v>
      </c>
      <c r="AC257" s="139">
        <f t="shared" ca="1" si="153"/>
        <v>0</v>
      </c>
      <c r="AD257" s="205">
        <f>IFERROR(VLOOKUP($C257,Таблица!$B$479:$L$498,11,FALSE),0)</f>
        <v>0</v>
      </c>
      <c r="AE257" s="85"/>
      <c r="AF257" s="85"/>
    </row>
    <row r="258" spans="1:32" x14ac:dyDescent="0.2">
      <c r="A258" s="114" t="str">
        <f>IF(C258="","",MAX(A$207:A257)+1)</f>
        <v/>
      </c>
      <c r="B258" s="1" t="str">
        <f>IFERROR(VLOOKUP($C258,Таблица!$B$479:$E$498,2,FALSE),"")</f>
        <v/>
      </c>
      <c r="C258" s="31"/>
      <c r="D258" s="31"/>
      <c r="E258" s="1"/>
      <c r="F258" s="1"/>
      <c r="G258" s="32"/>
      <c r="H258" s="1"/>
      <c r="I258" s="1"/>
      <c r="J258" s="1" t="str">
        <f t="shared" si="149"/>
        <v/>
      </c>
      <c r="K258" s="64"/>
      <c r="L258" s="1">
        <f>IFERROR(VLOOKUP($C258,Таблица!$B$479:$K$498,3,FALSE),0)</f>
        <v>0</v>
      </c>
      <c r="M258" s="1" t="str">
        <f>IFERROR(VLOOKUP($C258,Таблица!$B$479:$F$498,5,FALSE),"")</f>
        <v/>
      </c>
      <c r="N258" s="1" t="str">
        <f>IFERROR(VLOOKUP($C258,Таблица!$B$479:$E$498,4,FALSE),"")</f>
        <v/>
      </c>
      <c r="O258" s="1">
        <f t="shared" si="150"/>
        <v>1</v>
      </c>
      <c r="P258" s="42"/>
      <c r="Q258" s="11" t="str">
        <f>IF(OR(AND(ISERROR(VLOOKUP($C258,Таблица!$B$479:$E$498,2,FALSE)),$C258&lt;&gt;""),P258&lt;&gt;""),"V","")</f>
        <v/>
      </c>
      <c r="R258" s="249">
        <f t="shared" si="154"/>
        <v>0</v>
      </c>
      <c r="S258" s="62">
        <f t="shared" ca="1" si="151"/>
        <v>0</v>
      </c>
      <c r="T258" s="62">
        <f t="shared" ca="1" si="151"/>
        <v>0</v>
      </c>
      <c r="U258" s="84">
        <f t="shared" ca="1" si="151"/>
        <v>0</v>
      </c>
      <c r="V258" s="84">
        <f t="shared" ca="1" si="151"/>
        <v>0</v>
      </c>
      <c r="W258" s="84">
        <f t="shared" ca="1" si="151"/>
        <v>0</v>
      </c>
      <c r="X258" s="88">
        <f t="shared" ca="1" si="152"/>
        <v>0</v>
      </c>
      <c r="Y258" s="88">
        <f t="shared" ca="1" si="152"/>
        <v>0</v>
      </c>
      <c r="Z258" s="88">
        <f t="shared" ca="1" si="152"/>
        <v>0</v>
      </c>
      <c r="AA258" s="88">
        <f t="shared" ca="1" si="152"/>
        <v>0</v>
      </c>
      <c r="AB258" s="88">
        <f t="shared" ca="1" si="152"/>
        <v>0</v>
      </c>
      <c r="AC258" s="139">
        <f t="shared" ca="1" si="153"/>
        <v>0</v>
      </c>
      <c r="AD258" s="205">
        <f>IFERROR(VLOOKUP($C258,Таблица!$B$479:$L$498,11,FALSE),0)</f>
        <v>0</v>
      </c>
      <c r="AE258" s="85"/>
      <c r="AF258" s="85"/>
    </row>
    <row r="259" spans="1:32" x14ac:dyDescent="0.2">
      <c r="A259" s="114" t="str">
        <f>IF(C259="","",MAX(A$207:A258)+1)</f>
        <v/>
      </c>
      <c r="B259" s="1" t="str">
        <f>IFERROR(VLOOKUP($C259,Таблица!$B$479:$E$498,2,FALSE),"")</f>
        <v/>
      </c>
      <c r="C259" s="31"/>
      <c r="D259" s="31"/>
      <c r="E259" s="1"/>
      <c r="F259" s="1"/>
      <c r="G259" s="32"/>
      <c r="H259" s="1"/>
      <c r="I259" s="1"/>
      <c r="J259" s="1" t="str">
        <f>IF($C259="","","шт.")</f>
        <v/>
      </c>
      <c r="K259" s="64"/>
      <c r="L259" s="1">
        <f>IFERROR(VLOOKUP($C259,Таблица!$B$479:$K$498,3,FALSE),0)</f>
        <v>0</v>
      </c>
      <c r="M259" s="1" t="str">
        <f>IFERROR(VLOOKUP($C259,Таблица!$B$479:$F$498,5,FALSE),"")</f>
        <v/>
      </c>
      <c r="N259" s="1" t="str">
        <f>IFERROR(VLOOKUP($C259,Таблица!$B$479:$E$498,4,FALSE),"")</f>
        <v/>
      </c>
      <c r="O259" s="1">
        <f t="shared" si="150"/>
        <v>1</v>
      </c>
      <c r="P259" s="42"/>
      <c r="Q259" s="11" t="str">
        <f>IF(OR(AND(ISERROR(VLOOKUP($C259,Таблица!$B$479:$E$498,2,FALSE)),$C259&lt;&gt;""),P259&lt;&gt;""),"V","")</f>
        <v/>
      </c>
      <c r="R259" s="249">
        <f t="shared" si="154"/>
        <v>0</v>
      </c>
      <c r="S259" s="62">
        <f t="shared" ca="1" si="151"/>
        <v>0</v>
      </c>
      <c r="T259" s="62">
        <f t="shared" ca="1" si="151"/>
        <v>0</v>
      </c>
      <c r="U259" s="84">
        <f t="shared" ca="1" si="151"/>
        <v>0</v>
      </c>
      <c r="V259" s="84">
        <f t="shared" ca="1" si="151"/>
        <v>0</v>
      </c>
      <c r="W259" s="84">
        <f t="shared" ca="1" si="151"/>
        <v>0</v>
      </c>
      <c r="X259" s="88">
        <f t="shared" ca="1" si="152"/>
        <v>0</v>
      </c>
      <c r="Y259" s="88">
        <f t="shared" ca="1" si="152"/>
        <v>0</v>
      </c>
      <c r="Z259" s="88">
        <f t="shared" ca="1" si="152"/>
        <v>0</v>
      </c>
      <c r="AA259" s="88">
        <f t="shared" ca="1" si="152"/>
        <v>0</v>
      </c>
      <c r="AB259" s="88">
        <f t="shared" ca="1" si="152"/>
        <v>0</v>
      </c>
      <c r="AC259" s="139">
        <f t="shared" ca="1" si="153"/>
        <v>0</v>
      </c>
      <c r="AD259" s="205">
        <f>IFERROR(VLOOKUP($C259,Таблица!$B$479:$L$498,11,FALSE),0)</f>
        <v>0</v>
      </c>
      <c r="AE259" s="85"/>
      <c r="AF259" s="85"/>
    </row>
    <row r="260" spans="1:32" x14ac:dyDescent="0.2">
      <c r="A260" s="114" t="str">
        <f>IF(C260="","",MAX(A$207:A259)+1)</f>
        <v/>
      </c>
      <c r="B260" s="1" t="str">
        <f>IFERROR(VLOOKUP($C260,Таблица!$B$479:$E$498,2,FALSE),"")</f>
        <v/>
      </c>
      <c r="C260" s="31"/>
      <c r="D260" s="31"/>
      <c r="E260" s="1"/>
      <c r="F260" s="1"/>
      <c r="G260" s="32"/>
      <c r="H260" s="1"/>
      <c r="I260" s="1"/>
      <c r="J260" s="1" t="str">
        <f t="shared" si="149"/>
        <v/>
      </c>
      <c r="K260" s="64"/>
      <c r="L260" s="1">
        <f>IFERROR(VLOOKUP($C260,Таблица!$B$479:$K$498,3,FALSE),0)</f>
        <v>0</v>
      </c>
      <c r="M260" s="1" t="str">
        <f>IFERROR(VLOOKUP($C260,Таблица!$B$479:$F$498,5,FALSE),"")</f>
        <v/>
      </c>
      <c r="N260" s="1" t="str">
        <f>IFERROR(VLOOKUP($C260,Таблица!$B$479:$E$498,4,FALSE),"")</f>
        <v/>
      </c>
      <c r="O260" s="1">
        <f t="shared" si="150"/>
        <v>1</v>
      </c>
      <c r="P260" s="42"/>
      <c r="Q260" s="11" t="str">
        <f>IF(OR(AND(ISERROR(VLOOKUP($C260,Таблица!$B$479:$E$498,2,FALSE)),$C260&lt;&gt;""),P260&lt;&gt;""),"V","")</f>
        <v/>
      </c>
      <c r="R260" s="249">
        <f t="shared" si="154"/>
        <v>0</v>
      </c>
      <c r="S260" s="62">
        <f t="shared" ca="1" si="151"/>
        <v>0</v>
      </c>
      <c r="T260" s="62">
        <f t="shared" ca="1" si="151"/>
        <v>0</v>
      </c>
      <c r="U260" s="84">
        <f t="shared" ca="1" si="151"/>
        <v>0</v>
      </c>
      <c r="V260" s="84">
        <f t="shared" ca="1" si="151"/>
        <v>0</v>
      </c>
      <c r="W260" s="84">
        <f t="shared" ca="1" si="151"/>
        <v>0</v>
      </c>
      <c r="X260" s="88">
        <f t="shared" ca="1" si="152"/>
        <v>0</v>
      </c>
      <c r="Y260" s="88">
        <f t="shared" ca="1" si="152"/>
        <v>0</v>
      </c>
      <c r="Z260" s="88">
        <f t="shared" ca="1" si="152"/>
        <v>0</v>
      </c>
      <c r="AA260" s="88">
        <f t="shared" ca="1" si="152"/>
        <v>0</v>
      </c>
      <c r="AB260" s="88">
        <f t="shared" ca="1" si="152"/>
        <v>0</v>
      </c>
      <c r="AC260" s="139">
        <f t="shared" ca="1" si="153"/>
        <v>0</v>
      </c>
      <c r="AD260" s="205">
        <f>IFERROR(VLOOKUP($C260,Таблица!$B$479:$L$498,11,FALSE),0)</f>
        <v>0</v>
      </c>
      <c r="AE260" s="85"/>
      <c r="AF260" s="85"/>
    </row>
    <row r="261" spans="1:32" x14ac:dyDescent="0.2">
      <c r="A261" s="114" t="str">
        <f>IF(C261="","",MAX(A$207:A260)+1)</f>
        <v/>
      </c>
      <c r="B261" s="1" t="str">
        <f>IFERROR(VLOOKUP($C261,Таблица!$B$479:$E$498,2,FALSE),"")</f>
        <v/>
      </c>
      <c r="C261" s="31"/>
      <c r="D261" s="31"/>
      <c r="E261" s="1"/>
      <c r="F261" s="1"/>
      <c r="G261" s="32"/>
      <c r="H261" s="1"/>
      <c r="I261" s="1"/>
      <c r="J261" s="1" t="str">
        <f t="shared" si="149"/>
        <v/>
      </c>
      <c r="K261" s="64"/>
      <c r="L261" s="1">
        <f>IFERROR(VLOOKUP($C261,Таблица!$B$479:$K$498,3,FALSE),0)</f>
        <v>0</v>
      </c>
      <c r="M261" s="1" t="str">
        <f>IFERROR(VLOOKUP($C261,Таблица!$B$479:$F$498,5,FALSE),"")</f>
        <v/>
      </c>
      <c r="N261" s="1" t="str">
        <f>IFERROR(VLOOKUP($C261,Таблица!$B$479:$E$498,4,FALSE),"")</f>
        <v/>
      </c>
      <c r="O261" s="1">
        <f t="shared" si="150"/>
        <v>1</v>
      </c>
      <c r="P261" s="42"/>
      <c r="Q261" s="11" t="str">
        <f>IF(OR(AND(ISERROR(VLOOKUP($C261,Таблица!$B$479:$E$498,2,FALSE)),$C261&lt;&gt;""),P261&lt;&gt;""),"V","")</f>
        <v/>
      </c>
      <c r="R261" s="249">
        <f t="shared" si="154"/>
        <v>0</v>
      </c>
      <c r="S261" s="62">
        <f t="shared" ca="1" si="151"/>
        <v>0</v>
      </c>
      <c r="T261" s="62">
        <f t="shared" ca="1" si="151"/>
        <v>0</v>
      </c>
      <c r="U261" s="84">
        <f t="shared" ca="1" si="151"/>
        <v>0</v>
      </c>
      <c r="V261" s="84">
        <f t="shared" ca="1" si="151"/>
        <v>0</v>
      </c>
      <c r="W261" s="84">
        <f t="shared" ca="1" si="151"/>
        <v>0</v>
      </c>
      <c r="X261" s="88">
        <f t="shared" ca="1" si="152"/>
        <v>0</v>
      </c>
      <c r="Y261" s="88">
        <f t="shared" ca="1" si="152"/>
        <v>0</v>
      </c>
      <c r="Z261" s="88">
        <f t="shared" ca="1" si="152"/>
        <v>0</v>
      </c>
      <c r="AA261" s="88">
        <f t="shared" ca="1" si="152"/>
        <v>0</v>
      </c>
      <c r="AB261" s="88">
        <f t="shared" ca="1" si="152"/>
        <v>0</v>
      </c>
      <c r="AC261" s="139">
        <f t="shared" ca="1" si="153"/>
        <v>0</v>
      </c>
      <c r="AD261" s="205">
        <f>IFERROR(VLOOKUP($C261,Таблица!$B$479:$L$498,11,FALSE),0)</f>
        <v>0</v>
      </c>
      <c r="AE261" s="85"/>
      <c r="AF261" s="85"/>
    </row>
    <row r="262" spans="1:32" x14ac:dyDescent="0.2">
      <c r="A262" s="114" t="str">
        <f>IF(C262="","",MAX(A$207:A261)+1)</f>
        <v/>
      </c>
      <c r="B262" s="1" t="str">
        <f>IFERROR(VLOOKUP($C262,Таблица!$B$479:$E$498,2,FALSE),"")</f>
        <v/>
      </c>
      <c r="C262" s="31"/>
      <c r="D262" s="31"/>
      <c r="E262" s="1"/>
      <c r="F262" s="1"/>
      <c r="G262" s="32"/>
      <c r="H262" s="1"/>
      <c r="I262" s="1"/>
      <c r="J262" s="1" t="str">
        <f t="shared" si="149"/>
        <v/>
      </c>
      <c r="K262" s="64"/>
      <c r="L262" s="1">
        <f>IFERROR(VLOOKUP($C262,Таблица!$B$479:$K$498,3,FALSE),0)</f>
        <v>0</v>
      </c>
      <c r="M262" s="1" t="str">
        <f>IFERROR(VLOOKUP($C262,Таблица!$B$479:$F$498,5,FALSE),"")</f>
        <v/>
      </c>
      <c r="N262" s="1" t="str">
        <f>IFERROR(VLOOKUP($C262,Таблица!$B$479:$E$498,4,FALSE),"")</f>
        <v/>
      </c>
      <c r="O262" s="1">
        <f t="shared" si="150"/>
        <v>1</v>
      </c>
      <c r="P262" s="42"/>
      <c r="Q262" s="11" t="str">
        <f>IF(OR(AND(ISERROR(VLOOKUP($C262,Таблица!$B$479:$E$498,2,FALSE)),$C262&lt;&gt;""),P262&lt;&gt;""),"V","")</f>
        <v/>
      </c>
      <c r="R262" s="249">
        <f t="shared" si="154"/>
        <v>0</v>
      </c>
      <c r="S262" s="62">
        <f t="shared" ca="1" si="151"/>
        <v>0</v>
      </c>
      <c r="T262" s="62">
        <f t="shared" ca="1" si="151"/>
        <v>0</v>
      </c>
      <c r="U262" s="84">
        <f t="shared" ca="1" si="151"/>
        <v>0</v>
      </c>
      <c r="V262" s="84">
        <f t="shared" ca="1" si="151"/>
        <v>0</v>
      </c>
      <c r="W262" s="84">
        <f t="shared" ca="1" si="151"/>
        <v>0</v>
      </c>
      <c r="X262" s="88">
        <f t="shared" ca="1" si="152"/>
        <v>0</v>
      </c>
      <c r="Y262" s="88">
        <f t="shared" ca="1" si="152"/>
        <v>0</v>
      </c>
      <c r="Z262" s="88">
        <f t="shared" ca="1" si="152"/>
        <v>0</v>
      </c>
      <c r="AA262" s="88">
        <f t="shared" ca="1" si="152"/>
        <v>0</v>
      </c>
      <c r="AB262" s="88">
        <f t="shared" ca="1" si="152"/>
        <v>0</v>
      </c>
      <c r="AC262" s="139">
        <f t="shared" ca="1" si="153"/>
        <v>0</v>
      </c>
      <c r="AD262" s="205">
        <f>IFERROR(VLOOKUP($C262,Таблица!$B$479:$L$498,11,FALSE),0)</f>
        <v>0</v>
      </c>
      <c r="AE262" s="85"/>
      <c r="AF262" s="85"/>
    </row>
    <row r="263" spans="1:32" s="68" customFormat="1" hidden="1" x14ac:dyDescent="0.2">
      <c r="A263" s="133" t="s">
        <v>636</v>
      </c>
      <c r="B263" s="65"/>
      <c r="C263" s="65" t="s">
        <v>1026</v>
      </c>
      <c r="D263" s="66"/>
      <c r="E263" s="65"/>
      <c r="F263" s="65"/>
      <c r="G263" s="65"/>
      <c r="H263" s="65"/>
      <c r="I263" s="65"/>
      <c r="J263" s="65"/>
      <c r="K263" s="65"/>
      <c r="L263" s="65">
        <v>0</v>
      </c>
      <c r="M263" s="65">
        <v>20</v>
      </c>
      <c r="N263" s="65"/>
      <c r="O263" s="65"/>
      <c r="P263" s="65"/>
      <c r="Q263" s="69"/>
      <c r="R263" s="251"/>
      <c r="S263" s="100">
        <f t="shared" ref="S263:AB263" si="155">(IF(AND($M$255&gt;=$L$263,$M$255&lt;=$M$263),S$255,0)+IF(AND($M$256&gt;=$L$263,$M$256&lt;=$M$263),S$256,0)+IF(AND($M$257&gt;=$L$263,$M$257&lt;=$M$263),S$257,0)+IF(AND($M$258&gt;=$L$263,$M$258&lt;=$M$263),S$258,0)+IF(AND($M$259&gt;=$L$263,$M$259&lt;=$M$263),S$259,0)+IF(AND($M$260&gt;=$L$263,$M$260&lt;=$M$263),S$260,0)+IF(AND($M$261&gt;=$L$263,$M$261&lt;=$M$263),S$261,0)+IF(AND($M$262&gt;=$L$263,$M$262&lt;=$M$263),S$262,0))</f>
        <v>0</v>
      </c>
      <c r="T263" s="100">
        <f t="shared" si="155"/>
        <v>0</v>
      </c>
      <c r="U263" s="100">
        <f t="shared" si="155"/>
        <v>0</v>
      </c>
      <c r="V263" s="100">
        <f t="shared" si="155"/>
        <v>0</v>
      </c>
      <c r="W263" s="100">
        <f t="shared" si="155"/>
        <v>0</v>
      </c>
      <c r="X263" s="100">
        <f t="shared" si="155"/>
        <v>0</v>
      </c>
      <c r="Y263" s="100">
        <f t="shared" si="155"/>
        <v>0</v>
      </c>
      <c r="Z263" s="100">
        <f t="shared" si="155"/>
        <v>0</v>
      </c>
      <c r="AA263" s="100">
        <f t="shared" si="155"/>
        <v>0</v>
      </c>
      <c r="AB263" s="100">
        <f t="shared" si="155"/>
        <v>0</v>
      </c>
    </row>
    <row r="264" spans="1:32" s="68" customFormat="1" hidden="1" x14ac:dyDescent="0.2">
      <c r="A264" s="133" t="s">
        <v>636</v>
      </c>
      <c r="B264" s="65"/>
      <c r="C264" s="65" t="s">
        <v>1020</v>
      </c>
      <c r="D264" s="66"/>
      <c r="E264" s="65"/>
      <c r="F264" s="65"/>
      <c r="G264" s="65"/>
      <c r="H264" s="65"/>
      <c r="I264" s="65"/>
      <c r="J264" s="65"/>
      <c r="K264" s="65"/>
      <c r="L264" s="65">
        <v>35</v>
      </c>
      <c r="M264" s="65">
        <v>35</v>
      </c>
      <c r="N264" s="65"/>
      <c r="O264" s="65"/>
      <c r="P264" s="65"/>
      <c r="Q264" s="69"/>
      <c r="R264" s="251"/>
      <c r="S264" s="100">
        <f t="shared" ref="S264:AB264" si="156">(IF(AND($M$255&gt;=$L$264,$M$255&lt;=$M$264),S$255,0)+IF(AND($M$256&gt;=$L$264,$M$256&lt;=$M$264),S$256,0)+IF(AND($M$257&gt;=$L$264,$M$257&lt;=$M$264),S$257,0)+IF(AND($M$258&gt;=$L$264,$M$258&lt;=$M$264),S$258,0)+IF(AND($M$259&gt;=$L$264,$M$259&lt;=$M$264),S$259,0)+IF(AND($M$260&gt;=$L$264,$M$260&lt;=$M$264),S$260,0)+IF(AND($M$261&gt;=$L$264,$M$261&lt;=$M$264),S$261,0)+IF(AND($M$262&gt;=$L$264,$M$262&lt;=$M$264),S$262,0))</f>
        <v>0</v>
      </c>
      <c r="T264" s="100">
        <f t="shared" si="156"/>
        <v>0</v>
      </c>
      <c r="U264" s="100">
        <f t="shared" si="156"/>
        <v>0</v>
      </c>
      <c r="V264" s="100">
        <f t="shared" si="156"/>
        <v>0</v>
      </c>
      <c r="W264" s="100">
        <f t="shared" si="156"/>
        <v>0</v>
      </c>
      <c r="X264" s="100">
        <f t="shared" si="156"/>
        <v>0</v>
      </c>
      <c r="Y264" s="100">
        <f t="shared" si="156"/>
        <v>0</v>
      </c>
      <c r="Z264" s="100">
        <f t="shared" si="156"/>
        <v>0</v>
      </c>
      <c r="AA264" s="100">
        <f t="shared" si="156"/>
        <v>0</v>
      </c>
      <c r="AB264" s="100">
        <f t="shared" si="156"/>
        <v>0</v>
      </c>
    </row>
    <row r="265" spans="1:32" s="68" customFormat="1" hidden="1" x14ac:dyDescent="0.2">
      <c r="A265" s="133" t="s">
        <v>636</v>
      </c>
      <c r="B265" s="65"/>
      <c r="C265" s="65" t="s">
        <v>1021</v>
      </c>
      <c r="D265" s="66"/>
      <c r="E265" s="65"/>
      <c r="F265" s="65"/>
      <c r="G265" s="65"/>
      <c r="H265" s="65"/>
      <c r="I265" s="65"/>
      <c r="J265" s="65"/>
      <c r="K265" s="65"/>
      <c r="L265" s="65">
        <v>110</v>
      </c>
      <c r="M265" s="65">
        <v>220</v>
      </c>
      <c r="N265" s="65"/>
      <c r="O265" s="65"/>
      <c r="P265" s="65"/>
      <c r="Q265" s="69"/>
      <c r="R265" s="251"/>
      <c r="S265" s="100">
        <f t="shared" ref="S265:AB265" ca="1" si="157">(IF(AND($M$255&gt;=$L$265,$M$255&lt;=$M$265),S$255,0)+IF(AND($M$256&gt;=$L$265,$M$256&lt;=$M$265),S$256,0)+IF(AND($M$257&gt;=$L$265,$M$257&lt;=$M$265),S$257,0)+IF(AND($M$258&gt;=$L$265,$M$258&lt;=$M$265),S$258,0)+IF(AND($M$259&gt;=$L$265,$M$259&lt;=$M$265),S$259,0)+IF(AND($M$260&gt;=$L$265,$M$260&lt;=$M$265),S$260,0)+IF(AND($M$261&gt;=$L$265,$M$261&lt;=$M$265),S$261,0)+IF(AND($M$262&gt;=$L$265,$M$262&lt;=$M$265),S$262,0))</f>
        <v>605.22</v>
      </c>
      <c r="T265" s="100">
        <f t="shared" ca="1" si="157"/>
        <v>1911.22</v>
      </c>
      <c r="U265" s="100">
        <f t="shared" ca="1" si="157"/>
        <v>127.41</v>
      </c>
      <c r="V265" s="100">
        <f t="shared" ca="1" si="157"/>
        <v>254.83</v>
      </c>
      <c r="W265" s="100">
        <f t="shared" ca="1" si="157"/>
        <v>286.68</v>
      </c>
      <c r="X265" s="100">
        <f t="shared" ca="1" si="157"/>
        <v>215.42</v>
      </c>
      <c r="Y265" s="100">
        <f t="shared" ca="1" si="157"/>
        <v>93.35</v>
      </c>
      <c r="Z265" s="100">
        <f t="shared" ca="1" si="157"/>
        <v>203.45</v>
      </c>
      <c r="AA265" s="100">
        <f t="shared" ca="1" si="157"/>
        <v>76.12</v>
      </c>
      <c r="AB265" s="100">
        <f t="shared" ca="1" si="157"/>
        <v>203.45</v>
      </c>
    </row>
    <row r="266" spans="1:32" x14ac:dyDescent="0.2">
      <c r="A266" s="114"/>
      <c r="B266" s="1"/>
      <c r="C266" s="15" t="s">
        <v>198</v>
      </c>
      <c r="D266" s="15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249">
        <v>0</v>
      </c>
      <c r="S266" s="85"/>
      <c r="T266" s="85"/>
      <c r="U266" s="86"/>
      <c r="V266" s="86"/>
      <c r="W266" s="86"/>
    </row>
    <row r="267" spans="1:32" x14ac:dyDescent="0.2">
      <c r="A267" s="114" t="str">
        <f>IF(C267="","",MAX(A$207:A266)+1)</f>
        <v/>
      </c>
      <c r="B267" s="1" t="str">
        <f>IFERROR(VLOOKUP($C267,Таблица!$B$501:$E$541,2,FALSE),"")</f>
        <v/>
      </c>
      <c r="C267" s="48"/>
      <c r="D267" s="48"/>
      <c r="E267" s="1"/>
      <c r="F267" s="1"/>
      <c r="G267" s="32"/>
      <c r="H267" s="1"/>
      <c r="I267" s="1"/>
      <c r="J267" s="1" t="str">
        <f t="shared" si="149"/>
        <v/>
      </c>
      <c r="K267" s="64"/>
      <c r="L267" s="1">
        <f>IFERROR(VLOOKUP($C267,Таблица!$B$501:$K$541,3,FALSE),0)</f>
        <v>0</v>
      </c>
      <c r="M267" s="1" t="str">
        <f>IFERROR(VLOOKUP($C267,Таблица!$B$501:$F$541,5,FALSE),"")</f>
        <v/>
      </c>
      <c r="N267" s="1" t="str">
        <f>IFERROR(VLOOKUP($C267,Таблица!$B$501:$E$541,4,FALSE),"")</f>
        <v/>
      </c>
      <c r="O267" s="1">
        <f t="shared" ref="O267" si="158">IF(E267="",1,E267)*IF(F267="",1,F267)*IF(G267="",1,G267)*IF(H267="",1,H267)*IF(I267="",1,I267)</f>
        <v>1</v>
      </c>
      <c r="P267" s="42"/>
      <c r="Q267" s="1" t="str">
        <f>IF(OR(AND(ISERROR(VLOOKUP($C267,Таблица!$B$501:$E$541,2,FALSE)),$C267&lt;&gt;""),P267&lt;&gt;""),"√","")</f>
        <v/>
      </c>
      <c r="R267" s="249">
        <f>IFERROR(ROUND(K267*IF(P267="",N267*O267,P267*O267),2),0)</f>
        <v>0</v>
      </c>
      <c r="S267" s="62">
        <f t="shared" ref="S267:W270" ca="1" si="159">ROUND($AC267*S$206%,2)</f>
        <v>0</v>
      </c>
      <c r="T267" s="62">
        <f t="shared" ca="1" si="159"/>
        <v>0</v>
      </c>
      <c r="U267" s="84">
        <f t="shared" ca="1" si="159"/>
        <v>0</v>
      </c>
      <c r="V267" s="84">
        <f t="shared" ca="1" si="159"/>
        <v>0</v>
      </c>
      <c r="W267" s="84">
        <f t="shared" ca="1" si="159"/>
        <v>0</v>
      </c>
      <c r="X267" s="88">
        <f t="shared" ref="X267:AB270" ca="1" si="160">IF($R267="",0,ROUND($R267*X$206*(1+$K$279),2))</f>
        <v>0</v>
      </c>
      <c r="Y267" s="88">
        <f t="shared" ca="1" si="160"/>
        <v>0</v>
      </c>
      <c r="Z267" s="88">
        <f t="shared" ca="1" si="160"/>
        <v>0</v>
      </c>
      <c r="AA267" s="88">
        <f t="shared" ca="1" si="160"/>
        <v>0</v>
      </c>
      <c r="AB267" s="88">
        <f t="shared" ca="1" si="160"/>
        <v>0</v>
      </c>
      <c r="AC267" s="139">
        <f ca="1">IFERROR(ROUND(R267*(1+$K$279),2)+SUM(X267:AB267),0)</f>
        <v>0</v>
      </c>
      <c r="AF267" s="85"/>
    </row>
    <row r="268" spans="1:32" x14ac:dyDescent="0.2">
      <c r="A268" s="114" t="str">
        <f>IF(C268="","",MAX(A$207:A267)+1)</f>
        <v/>
      </c>
      <c r="B268" s="1" t="str">
        <f>IFERROR(VLOOKUP($C268,Таблица!$B$501:$E$541,2,FALSE),"")</f>
        <v/>
      </c>
      <c r="C268" s="31"/>
      <c r="D268" s="31"/>
      <c r="E268" s="1"/>
      <c r="F268" s="1"/>
      <c r="G268" s="32"/>
      <c r="H268" s="1"/>
      <c r="I268" s="1"/>
      <c r="J268" s="1" t="str">
        <f t="shared" si="149"/>
        <v/>
      </c>
      <c r="K268" s="64"/>
      <c r="L268" s="1">
        <f>IFERROR(VLOOKUP($C268,Таблица!$B$501:$K$541,3,FALSE),0)</f>
        <v>0</v>
      </c>
      <c r="M268" s="1" t="str">
        <f>IFERROR(VLOOKUP($C268,Таблица!$B$501:$F$541,5,FALSE),"")</f>
        <v/>
      </c>
      <c r="N268" s="1" t="str">
        <f>IFERROR(VLOOKUP($C268,Таблица!$B$501:$E$541,4,FALSE),"")</f>
        <v/>
      </c>
      <c r="O268" s="1">
        <f t="shared" ref="O268:O270" si="161">IF(E268="",1,E268)*IF(F268="",1,F268)*IF(G268="",1,G268)*IF(H268="",1,H268)*IF(I268="",1,I268)</f>
        <v>1</v>
      </c>
      <c r="P268" s="42"/>
      <c r="Q268" s="1" t="str">
        <f>IF(OR(AND(ISERROR(VLOOKUP($C268,Таблица!$B$501:$E$541,2,FALSE)),$C268&lt;&gt;""),P268&lt;&gt;""),"√","")</f>
        <v/>
      </c>
      <c r="R268" s="249">
        <f t="shared" ref="R268:R270" si="162">IFERROR(ROUND(K268*IF(P268="",N268*O268,P268*O268),2),0)</f>
        <v>0</v>
      </c>
      <c r="S268" s="62">
        <f t="shared" ca="1" si="159"/>
        <v>0</v>
      </c>
      <c r="T268" s="62">
        <f t="shared" ca="1" si="159"/>
        <v>0</v>
      </c>
      <c r="U268" s="84">
        <f t="shared" ca="1" si="159"/>
        <v>0</v>
      </c>
      <c r="V268" s="84">
        <f t="shared" ca="1" si="159"/>
        <v>0</v>
      </c>
      <c r="W268" s="84">
        <f t="shared" ca="1" si="159"/>
        <v>0</v>
      </c>
      <c r="X268" s="88">
        <f t="shared" ca="1" si="160"/>
        <v>0</v>
      </c>
      <c r="Y268" s="88">
        <f t="shared" ca="1" si="160"/>
        <v>0</v>
      </c>
      <c r="Z268" s="88">
        <f t="shared" ca="1" si="160"/>
        <v>0</v>
      </c>
      <c r="AA268" s="88">
        <f t="shared" ca="1" si="160"/>
        <v>0</v>
      </c>
      <c r="AB268" s="88">
        <f t="shared" ca="1" si="160"/>
        <v>0</v>
      </c>
      <c r="AC268" s="139">
        <f ca="1">IFERROR(ROUND(R268*(1+$K$279),2)+SUM(X268:AB268),0)</f>
        <v>0</v>
      </c>
      <c r="AF268" s="85"/>
    </row>
    <row r="269" spans="1:32" x14ac:dyDescent="0.2">
      <c r="A269" s="114" t="str">
        <f>IF(C269="","",MAX(A$207:A268)+1)</f>
        <v/>
      </c>
      <c r="B269" s="1" t="str">
        <f>IFERROR(VLOOKUP($C269,Таблица!$B$501:$E$541,2,FALSE),"")</f>
        <v/>
      </c>
      <c r="C269" s="31"/>
      <c r="D269" s="31"/>
      <c r="E269" s="1"/>
      <c r="F269" s="1"/>
      <c r="G269" s="50"/>
      <c r="H269" s="1"/>
      <c r="I269" s="1"/>
      <c r="J269" s="1" t="str">
        <f t="shared" si="149"/>
        <v/>
      </c>
      <c r="K269" s="64"/>
      <c r="L269" s="1">
        <f>IFERROR(VLOOKUP($C269,Таблица!$B$501:$K$541,3,FALSE),0)</f>
        <v>0</v>
      </c>
      <c r="M269" s="1" t="str">
        <f>IFERROR(VLOOKUP($C269,Таблица!$B$501:$F$541,5,FALSE),"")</f>
        <v/>
      </c>
      <c r="N269" s="1" t="str">
        <f>IFERROR(VLOOKUP($C269,Таблица!$B$501:$E$541,4,FALSE),"")</f>
        <v/>
      </c>
      <c r="O269" s="1">
        <f t="shared" si="161"/>
        <v>1</v>
      </c>
      <c r="P269" s="42"/>
      <c r="Q269" s="1" t="str">
        <f>IF(OR(AND(ISERROR(VLOOKUP($C269,Таблица!$B$501:$E$541,2,FALSE)),$C269&lt;&gt;""),P269&lt;&gt;""),"√","")</f>
        <v/>
      </c>
      <c r="R269" s="249">
        <f t="shared" si="162"/>
        <v>0</v>
      </c>
      <c r="S269" s="62">
        <f t="shared" ca="1" si="159"/>
        <v>0</v>
      </c>
      <c r="T269" s="62">
        <f t="shared" ca="1" si="159"/>
        <v>0</v>
      </c>
      <c r="U269" s="84">
        <f t="shared" ca="1" si="159"/>
        <v>0</v>
      </c>
      <c r="V269" s="84">
        <f t="shared" ca="1" si="159"/>
        <v>0</v>
      </c>
      <c r="W269" s="84">
        <f t="shared" ca="1" si="159"/>
        <v>0</v>
      </c>
      <c r="X269" s="88">
        <f t="shared" ca="1" si="160"/>
        <v>0</v>
      </c>
      <c r="Y269" s="88">
        <f t="shared" ca="1" si="160"/>
        <v>0</v>
      </c>
      <c r="Z269" s="88">
        <f t="shared" ca="1" si="160"/>
        <v>0</v>
      </c>
      <c r="AA269" s="88">
        <f t="shared" ca="1" si="160"/>
        <v>0</v>
      </c>
      <c r="AB269" s="88">
        <f t="shared" ca="1" si="160"/>
        <v>0</v>
      </c>
      <c r="AC269" s="139">
        <f ca="1">IFERROR(ROUND(R269*(1+$K$279),2)+SUM(X269:AB269),0)</f>
        <v>0</v>
      </c>
      <c r="AF269" s="85"/>
    </row>
    <row r="270" spans="1:32" x14ac:dyDescent="0.2">
      <c r="A270" s="114" t="str">
        <f>IF(C270="","",MAX(A$207:A269)+1)</f>
        <v/>
      </c>
      <c r="B270" s="1" t="str">
        <f>IFERROR(VLOOKUP($C270,Таблица!$B$501:$E$541,2,FALSE),"")</f>
        <v/>
      </c>
      <c r="C270" s="31"/>
      <c r="D270" s="31"/>
      <c r="E270" s="1"/>
      <c r="F270" s="1"/>
      <c r="G270" s="50"/>
      <c r="H270" s="1"/>
      <c r="I270" s="1"/>
      <c r="J270" s="1" t="str">
        <f t="shared" si="149"/>
        <v/>
      </c>
      <c r="K270" s="64"/>
      <c r="L270" s="1">
        <f>IFERROR(VLOOKUP($C270,Таблица!$B$501:$K$541,3,FALSE),0)</f>
        <v>0</v>
      </c>
      <c r="M270" s="1" t="str">
        <f>IFERROR(VLOOKUP($C270,Таблица!$B$501:$F$541,5,FALSE),"")</f>
        <v/>
      </c>
      <c r="N270" s="1" t="str">
        <f>IFERROR(VLOOKUP($C270,Таблица!$B$501:$E$541,4,FALSE),"")</f>
        <v/>
      </c>
      <c r="O270" s="1">
        <f t="shared" si="161"/>
        <v>1</v>
      </c>
      <c r="P270" s="42"/>
      <c r="Q270" s="1" t="str">
        <f>IF(OR(AND(ISERROR(VLOOKUP($C270,Таблица!$B$501:$E$541,2,FALSE)),$C270&lt;&gt;""),P270&lt;&gt;""),"√","")</f>
        <v/>
      </c>
      <c r="R270" s="249">
        <f t="shared" si="162"/>
        <v>0</v>
      </c>
      <c r="S270" s="62">
        <f t="shared" ca="1" si="159"/>
        <v>0</v>
      </c>
      <c r="T270" s="62">
        <f t="shared" ca="1" si="159"/>
        <v>0</v>
      </c>
      <c r="U270" s="84">
        <f t="shared" ca="1" si="159"/>
        <v>0</v>
      </c>
      <c r="V270" s="84">
        <f t="shared" ca="1" si="159"/>
        <v>0</v>
      </c>
      <c r="W270" s="84">
        <f t="shared" ca="1" si="159"/>
        <v>0</v>
      </c>
      <c r="X270" s="88">
        <f t="shared" ca="1" si="160"/>
        <v>0</v>
      </c>
      <c r="Y270" s="88">
        <f t="shared" ca="1" si="160"/>
        <v>0</v>
      </c>
      <c r="Z270" s="88">
        <f t="shared" ca="1" si="160"/>
        <v>0</v>
      </c>
      <c r="AA270" s="88">
        <f t="shared" ca="1" si="160"/>
        <v>0</v>
      </c>
      <c r="AB270" s="88">
        <f t="shared" ca="1" si="160"/>
        <v>0</v>
      </c>
      <c r="AC270" s="139">
        <f ca="1">IFERROR(ROUND(R270*(1+$K$279),2)+SUM(X270:AB270),0)</f>
        <v>0</v>
      </c>
      <c r="AF270" s="85"/>
    </row>
    <row r="271" spans="1:32" x14ac:dyDescent="0.2">
      <c r="A271" s="114"/>
      <c r="B271" s="1"/>
      <c r="C271" s="15" t="s">
        <v>309</v>
      </c>
      <c r="D271" s="15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249">
        <v>0</v>
      </c>
      <c r="S271" s="85"/>
      <c r="T271" s="85"/>
      <c r="U271" s="86"/>
      <c r="V271" s="86"/>
      <c r="W271" s="86"/>
    </row>
    <row r="272" spans="1:32" x14ac:dyDescent="0.2">
      <c r="A272" s="114" t="str">
        <f>IF(C272="","",MAX(A$207:A271)+1)</f>
        <v/>
      </c>
      <c r="B272" s="1" t="str">
        <f>IFERROR(VLOOKUP($C272,Таблица!$B$544:$E$559,2,FALSE),"")</f>
        <v/>
      </c>
      <c r="C272" s="31"/>
      <c r="D272" s="31"/>
      <c r="E272" s="1"/>
      <c r="F272" s="1"/>
      <c r="G272" s="32"/>
      <c r="H272" s="1"/>
      <c r="I272" s="1"/>
      <c r="J272" s="1" t="str">
        <f t="shared" si="149"/>
        <v/>
      </c>
      <c r="K272" s="64"/>
      <c r="L272" s="1">
        <f>IFERROR(VLOOKUP($C272,Таблица!$B$544:$K$559,3,FALSE),0)</f>
        <v>0</v>
      </c>
      <c r="M272" s="1" t="str">
        <f>IFERROR(VLOOKUP($C272,Таблица!$B$544:$F$559,5,FALSE),"")</f>
        <v/>
      </c>
      <c r="N272" s="1" t="str">
        <f>IFERROR(VLOOKUP($C272,Таблица!$B$544:$E$559,4,FALSE),"")</f>
        <v/>
      </c>
      <c r="O272" s="1">
        <f>IF(E272="",1,E272)*IF(F272="",1,F272)*IF(G272="",1,G272)*IF(H272="",1,H272)*IF(I272="",1,I272)</f>
        <v>1</v>
      </c>
      <c r="P272" s="42"/>
      <c r="Q272" s="1" t="str">
        <f>IF(OR(AND(ISERROR(VLOOKUP($C272,Таблица!$B$544:$E$559,2,FALSE)),$C272&lt;&gt;""),P272&lt;&gt;""),"√","")</f>
        <v/>
      </c>
      <c r="R272" s="249">
        <f>IFERROR(ROUND(K272*IF(P272="",N272*O272,P272*O272),2),0)</f>
        <v>0</v>
      </c>
      <c r="S272" s="62">
        <f t="shared" ref="S272:W273" ca="1" si="163">ROUND($AC272*S$206%,2)</f>
        <v>0</v>
      </c>
      <c r="T272" s="62">
        <f t="shared" ca="1" si="163"/>
        <v>0</v>
      </c>
      <c r="U272" s="84">
        <f t="shared" ca="1" si="163"/>
        <v>0</v>
      </c>
      <c r="V272" s="84">
        <f t="shared" ca="1" si="163"/>
        <v>0</v>
      </c>
      <c r="W272" s="84">
        <f t="shared" ca="1" si="163"/>
        <v>0</v>
      </c>
      <c r="X272" s="88">
        <f t="shared" ref="X272:AB273" ca="1" si="164">IF($R272="",0,ROUND($R272*X$206*(1+$K$279),2))</f>
        <v>0</v>
      </c>
      <c r="Y272" s="88">
        <f t="shared" ca="1" si="164"/>
        <v>0</v>
      </c>
      <c r="Z272" s="88">
        <f t="shared" ca="1" si="164"/>
        <v>0</v>
      </c>
      <c r="AA272" s="88">
        <f t="shared" ca="1" si="164"/>
        <v>0</v>
      </c>
      <c r="AB272" s="88">
        <f t="shared" ca="1" si="164"/>
        <v>0</v>
      </c>
      <c r="AC272" s="139">
        <f ca="1">IFERROR(ROUND(R272*(1+$K$279),2)+SUM(X272:AB272),0)</f>
        <v>0</v>
      </c>
      <c r="AE272" s="85"/>
      <c r="AF272" s="85"/>
    </row>
    <row r="273" spans="1:32" x14ac:dyDescent="0.2">
      <c r="A273" s="114" t="str">
        <f>IF(C273="","",MAX(A$207:A272)+1)</f>
        <v/>
      </c>
      <c r="B273" s="1" t="str">
        <f>IFERROR(VLOOKUP($C273,Таблица!$B$544:$E$559,2,FALSE),"")</f>
        <v/>
      </c>
      <c r="C273" s="31"/>
      <c r="D273" s="31"/>
      <c r="E273" s="1"/>
      <c r="F273" s="1"/>
      <c r="G273" s="32"/>
      <c r="H273" s="1"/>
      <c r="I273" s="1"/>
      <c r="J273" s="1" t="str">
        <f t="shared" si="149"/>
        <v/>
      </c>
      <c r="K273" s="64"/>
      <c r="L273" s="1">
        <f>IFERROR(VLOOKUP($C273,Таблица!$B$544:$K$559,3,FALSE),0)</f>
        <v>0</v>
      </c>
      <c r="M273" s="1" t="str">
        <f>IFERROR(VLOOKUP($C273,Таблица!$B$544:$F$559,5,FALSE),"")</f>
        <v/>
      </c>
      <c r="N273" s="1" t="str">
        <f>IFERROR(VLOOKUP($C273,Таблица!$B$544:$E$559,4,FALSE),"")</f>
        <v/>
      </c>
      <c r="O273" s="1">
        <f>IF(E273="",1,E273)*IF(F273="",1,F273)*IF(G273="",1,G273)*IF(H273="",1,H273)*IF(I273="",1,I273)</f>
        <v>1</v>
      </c>
      <c r="P273" s="42"/>
      <c r="Q273" s="1" t="str">
        <f>IF(OR(AND(ISERROR(VLOOKUP($C273,Таблица!$B$544:$E$559,2,FALSE)),$C273&lt;&gt;""),P273&lt;&gt;""),"√","")</f>
        <v/>
      </c>
      <c r="R273" s="249">
        <f>IFERROR(ROUND(K273*IF(P273="",N273*O273,P273*O273),2),0)</f>
        <v>0</v>
      </c>
      <c r="S273" s="62">
        <f t="shared" ca="1" si="163"/>
        <v>0</v>
      </c>
      <c r="T273" s="62">
        <f t="shared" ca="1" si="163"/>
        <v>0</v>
      </c>
      <c r="U273" s="84">
        <f t="shared" ca="1" si="163"/>
        <v>0</v>
      </c>
      <c r="V273" s="84">
        <f t="shared" ca="1" si="163"/>
        <v>0</v>
      </c>
      <c r="W273" s="84">
        <f t="shared" ca="1" si="163"/>
        <v>0</v>
      </c>
      <c r="X273" s="88">
        <f t="shared" ca="1" si="164"/>
        <v>0</v>
      </c>
      <c r="Y273" s="88">
        <f t="shared" ca="1" si="164"/>
        <v>0</v>
      </c>
      <c r="Z273" s="88">
        <f t="shared" ca="1" si="164"/>
        <v>0</v>
      </c>
      <c r="AA273" s="88">
        <f t="shared" ca="1" si="164"/>
        <v>0</v>
      </c>
      <c r="AB273" s="88">
        <f t="shared" ca="1" si="164"/>
        <v>0</v>
      </c>
      <c r="AC273" s="139">
        <f ca="1">IFERROR(ROUND(R273*(1+$K$279),2)+SUM(X273:AB273),0)</f>
        <v>0</v>
      </c>
      <c r="AE273" s="85"/>
      <c r="AF273" s="85"/>
    </row>
    <row r="274" spans="1:32" x14ac:dyDescent="0.2">
      <c r="A274" s="114"/>
      <c r="B274" s="1"/>
      <c r="C274" s="15" t="s">
        <v>947</v>
      </c>
      <c r="D274" s="15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249">
        <v>0</v>
      </c>
      <c r="S274" s="85"/>
      <c r="T274" s="85"/>
      <c r="U274" s="86"/>
      <c r="V274" s="86"/>
      <c r="W274" s="86"/>
    </row>
    <row r="275" spans="1:32" x14ac:dyDescent="0.2">
      <c r="A275" s="114" t="str">
        <f>IF(C275="","",MAX(A$207:A274)+1)</f>
        <v/>
      </c>
      <c r="B275" s="1" t="str">
        <f>IFERROR(VLOOKUP($C275,Таблица!$B$562:$E$609,2,FALSE),"")</f>
        <v/>
      </c>
      <c r="C275" s="31"/>
      <c r="D275" s="31"/>
      <c r="E275" s="1"/>
      <c r="F275" s="1"/>
      <c r="G275" s="32"/>
      <c r="H275" s="1"/>
      <c r="I275" s="1"/>
      <c r="J275" s="1" t="str">
        <f t="shared" si="149"/>
        <v/>
      </c>
      <c r="K275" s="64"/>
      <c r="L275" s="1">
        <f>IFERROR(VLOOKUP($C275,Таблица!$B$562:$K$609,3,FALSE),0)</f>
        <v>0</v>
      </c>
      <c r="M275" s="1" t="str">
        <f>IFERROR(VLOOKUP($C275,Таблица!$B$562:$F$609,5,FALSE),"")</f>
        <v/>
      </c>
      <c r="N275" s="1" t="str">
        <f>IFERROR(VLOOKUP($C275,Таблица!$B$562:$E$609,4,FALSE),"")</f>
        <v/>
      </c>
      <c r="O275" s="1">
        <f t="shared" ref="O275" si="165">IF(E275="",1,E275)*IF(F275="",1,F275)*IF(G275="",1,G275)*IF(H275="",1,H275)*IF(I275="",1,I275)</f>
        <v>1</v>
      </c>
      <c r="P275" s="42"/>
      <c r="Q275" s="1" t="str">
        <f>IF(OR(AND(ISERROR(VLOOKUP($C275,Таблица!$B$562:$E$609,2,FALSE)),$C275&lt;&gt;""),P275&lt;&gt;""),"√","")</f>
        <v/>
      </c>
      <c r="R275" s="249">
        <f>IFERROR(ROUND(K275*IF(P275="",N275*O275,P275*O275),2),0)</f>
        <v>0</v>
      </c>
      <c r="S275" s="62">
        <f t="shared" ref="S275:W278" ca="1" si="166">ROUND($AC275*S$206%,2)</f>
        <v>0</v>
      </c>
      <c r="T275" s="62">
        <f t="shared" ca="1" si="166"/>
        <v>0</v>
      </c>
      <c r="U275" s="84">
        <f t="shared" ca="1" si="166"/>
        <v>0</v>
      </c>
      <c r="V275" s="84">
        <f t="shared" ca="1" si="166"/>
        <v>0</v>
      </c>
      <c r="W275" s="84">
        <f t="shared" ca="1" si="166"/>
        <v>0</v>
      </c>
      <c r="X275" s="88">
        <f t="shared" ref="X275:AB278" ca="1" si="167">IF($R275="",0,ROUND($R275*X$206*(1+$K$279),2))</f>
        <v>0</v>
      </c>
      <c r="Y275" s="88">
        <f t="shared" ca="1" si="167"/>
        <v>0</v>
      </c>
      <c r="Z275" s="88">
        <f t="shared" ca="1" si="167"/>
        <v>0</v>
      </c>
      <c r="AA275" s="88">
        <f t="shared" ca="1" si="167"/>
        <v>0</v>
      </c>
      <c r="AB275" s="88">
        <f t="shared" ca="1" si="167"/>
        <v>0</v>
      </c>
      <c r="AC275" s="139">
        <f ca="1">IFERROR(ROUND(R275*(1+$K$279),2)+SUM(X275:AB275),0)</f>
        <v>0</v>
      </c>
      <c r="AE275" s="85"/>
      <c r="AF275" s="85"/>
    </row>
    <row r="276" spans="1:32" x14ac:dyDescent="0.2">
      <c r="A276" s="114" t="str">
        <f>IF(C276="","",MAX(A$207:A275)+1)</f>
        <v/>
      </c>
      <c r="B276" s="1" t="str">
        <f>IFERROR(VLOOKUP($C276,Таблица!$B$562:$E$609,2,FALSE),"")</f>
        <v/>
      </c>
      <c r="C276" s="31"/>
      <c r="D276" s="31"/>
      <c r="E276" s="1"/>
      <c r="F276" s="1"/>
      <c r="G276" s="32"/>
      <c r="H276" s="1"/>
      <c r="I276" s="1"/>
      <c r="J276" s="1" t="str">
        <f t="shared" si="149"/>
        <v/>
      </c>
      <c r="K276" s="64"/>
      <c r="L276" s="1">
        <f>IFERROR(VLOOKUP($C276,Таблица!$B$562:$K$609,3,FALSE),0)</f>
        <v>0</v>
      </c>
      <c r="M276" s="1" t="str">
        <f>IFERROR(VLOOKUP($C276,Таблица!$B$562:$F$609,5,FALSE),"")</f>
        <v/>
      </c>
      <c r="N276" s="1" t="str">
        <f>IFERROR(VLOOKUP($C276,Таблица!$B$562:$E$609,4,FALSE),"")</f>
        <v/>
      </c>
      <c r="O276" s="1">
        <f t="shared" ref="O276:O277" si="168">IF(E276="",1,E276)*IF(F276="",1,F276)*IF(G276="",1,G276)*IF(H276="",1,H276)*IF(I276="",1,I276)</f>
        <v>1</v>
      </c>
      <c r="P276" s="42"/>
      <c r="Q276" s="1" t="str">
        <f>IF(OR(AND(ISERROR(VLOOKUP($C276,Таблица!$B$562:$E$609,2,FALSE)),$C276&lt;&gt;""),P276&lt;&gt;""),"√","")</f>
        <v/>
      </c>
      <c r="R276" s="249">
        <f t="shared" ref="R276:R278" si="169">IFERROR(ROUND(K276*IF(P276="",N276*O276,P276*O276),2),0)</f>
        <v>0</v>
      </c>
      <c r="S276" s="62">
        <f t="shared" ca="1" si="166"/>
        <v>0</v>
      </c>
      <c r="T276" s="62">
        <f t="shared" ca="1" si="166"/>
        <v>0</v>
      </c>
      <c r="U276" s="84">
        <f t="shared" ca="1" si="166"/>
        <v>0</v>
      </c>
      <c r="V276" s="84">
        <f t="shared" ca="1" si="166"/>
        <v>0</v>
      </c>
      <c r="W276" s="84">
        <f t="shared" ca="1" si="166"/>
        <v>0</v>
      </c>
      <c r="X276" s="88">
        <f t="shared" ca="1" si="167"/>
        <v>0</v>
      </c>
      <c r="Y276" s="88">
        <f t="shared" ca="1" si="167"/>
        <v>0</v>
      </c>
      <c r="Z276" s="88">
        <f t="shared" ca="1" si="167"/>
        <v>0</v>
      </c>
      <c r="AA276" s="88">
        <f t="shared" ca="1" si="167"/>
        <v>0</v>
      </c>
      <c r="AB276" s="88">
        <f t="shared" ca="1" si="167"/>
        <v>0</v>
      </c>
      <c r="AC276" s="139">
        <f ca="1">IFERROR(ROUND(R276*(1+$K$279),2)+SUM(X276:AB276),0)</f>
        <v>0</v>
      </c>
      <c r="AE276" s="85"/>
      <c r="AF276" s="85"/>
    </row>
    <row r="277" spans="1:32" x14ac:dyDescent="0.2">
      <c r="A277" s="114" t="str">
        <f>IF(C277="","",MAX(A$207:A276)+1)</f>
        <v/>
      </c>
      <c r="B277" s="1" t="str">
        <f>IFERROR(VLOOKUP($C277,Таблица!$B$562:$E$609,2,FALSE),"")</f>
        <v/>
      </c>
      <c r="C277" s="31"/>
      <c r="D277" s="31"/>
      <c r="E277" s="1"/>
      <c r="F277" s="1"/>
      <c r="G277" s="32"/>
      <c r="H277" s="1"/>
      <c r="I277" s="1"/>
      <c r="J277" s="1" t="str">
        <f t="shared" si="149"/>
        <v/>
      </c>
      <c r="K277" s="64"/>
      <c r="L277" s="1">
        <f>IFERROR(VLOOKUP($C277,Таблица!$B$562:$K$609,3,FALSE),0)</f>
        <v>0</v>
      </c>
      <c r="M277" s="1" t="str">
        <f>IFERROR(VLOOKUP($C277,Таблица!$B$562:$F$609,5,FALSE),"")</f>
        <v/>
      </c>
      <c r="N277" s="1" t="str">
        <f>IFERROR(VLOOKUP($C277,Таблица!$B$562:$E$609,4,FALSE),"")</f>
        <v/>
      </c>
      <c r="O277" s="1">
        <f t="shared" si="168"/>
        <v>1</v>
      </c>
      <c r="P277" s="42"/>
      <c r="Q277" s="1" t="str">
        <f>IF(OR(AND(ISERROR(VLOOKUP($C277,Таблица!$B$562:$E$609,2,FALSE)),$C277&lt;&gt;""),P277&lt;&gt;""),"√","")</f>
        <v/>
      </c>
      <c r="R277" s="249">
        <f t="shared" si="169"/>
        <v>0</v>
      </c>
      <c r="S277" s="62">
        <f t="shared" ca="1" si="166"/>
        <v>0</v>
      </c>
      <c r="T277" s="62">
        <f t="shared" ca="1" si="166"/>
        <v>0</v>
      </c>
      <c r="U277" s="84">
        <f t="shared" ca="1" si="166"/>
        <v>0</v>
      </c>
      <c r="V277" s="84">
        <f t="shared" ca="1" si="166"/>
        <v>0</v>
      </c>
      <c r="W277" s="84">
        <f t="shared" ca="1" si="166"/>
        <v>0</v>
      </c>
      <c r="X277" s="88">
        <f t="shared" ca="1" si="167"/>
        <v>0</v>
      </c>
      <c r="Y277" s="88">
        <f t="shared" ca="1" si="167"/>
        <v>0</v>
      </c>
      <c r="Z277" s="88">
        <f t="shared" ca="1" si="167"/>
        <v>0</v>
      </c>
      <c r="AA277" s="88">
        <f t="shared" ca="1" si="167"/>
        <v>0</v>
      </c>
      <c r="AB277" s="88">
        <f t="shared" ca="1" si="167"/>
        <v>0</v>
      </c>
      <c r="AC277" s="139">
        <f ca="1">IFERROR(ROUND(R277*(1+$K$279),2)+SUM(X277:AB277),0)</f>
        <v>0</v>
      </c>
      <c r="AE277" s="85"/>
      <c r="AF277" s="85"/>
    </row>
    <row r="278" spans="1:32" x14ac:dyDescent="0.2">
      <c r="A278" s="114" t="str">
        <f>IF(C278="","",MAX(A$207:A277)+1)</f>
        <v/>
      </c>
      <c r="B278" s="1" t="str">
        <f>IFERROR(VLOOKUP($C278,Таблица!$B$562:$E$609,2,FALSE),"")</f>
        <v/>
      </c>
      <c r="C278" s="31"/>
      <c r="D278" s="31"/>
      <c r="E278" s="1"/>
      <c r="F278" s="1"/>
      <c r="G278" s="32"/>
      <c r="H278" s="1"/>
      <c r="I278" s="1"/>
      <c r="J278" s="1" t="str">
        <f t="shared" si="149"/>
        <v/>
      </c>
      <c r="K278" s="64"/>
      <c r="L278" s="1">
        <f>IFERROR(VLOOKUP($C278,Таблица!$B$562:$K$609,3,FALSE),0)</f>
        <v>0</v>
      </c>
      <c r="M278" s="1" t="str">
        <f>IFERROR(VLOOKUP($C278,Таблица!$B$562:$F$609,5,FALSE),"")</f>
        <v/>
      </c>
      <c r="N278" s="1" t="str">
        <f>IFERROR(VLOOKUP($C278,Таблица!$B$562:$E$609,4,FALSE),"")</f>
        <v/>
      </c>
      <c r="O278" s="1">
        <f t="shared" ref="O278" si="170">IF(E278="",1,E278)*IF(F278="",1,F278)*IF(G278="",1,G278)*IF(H278="",1,H278)*IF(I278="",1,I278)</f>
        <v>1</v>
      </c>
      <c r="P278" s="42"/>
      <c r="Q278" s="1" t="str">
        <f>IF(OR(AND(ISERROR(VLOOKUP($C278,Таблица!$B$562:$E$609,2,FALSE)),$C278&lt;&gt;""),P278&lt;&gt;""),"√","")</f>
        <v/>
      </c>
      <c r="R278" s="249">
        <f t="shared" si="169"/>
        <v>0</v>
      </c>
      <c r="S278" s="62">
        <f t="shared" ca="1" si="166"/>
        <v>0</v>
      </c>
      <c r="T278" s="62">
        <f t="shared" ca="1" si="166"/>
        <v>0</v>
      </c>
      <c r="U278" s="84">
        <f t="shared" ca="1" si="166"/>
        <v>0</v>
      </c>
      <c r="V278" s="84">
        <f t="shared" ca="1" si="166"/>
        <v>0</v>
      </c>
      <c r="W278" s="84">
        <f t="shared" ca="1" si="166"/>
        <v>0</v>
      </c>
      <c r="X278" s="88">
        <f t="shared" ca="1" si="167"/>
        <v>0</v>
      </c>
      <c r="Y278" s="88">
        <f t="shared" ca="1" si="167"/>
        <v>0</v>
      </c>
      <c r="Z278" s="88">
        <f t="shared" ca="1" si="167"/>
        <v>0</v>
      </c>
      <c r="AA278" s="88">
        <f t="shared" ca="1" si="167"/>
        <v>0</v>
      </c>
      <c r="AB278" s="88">
        <f t="shared" ca="1" si="167"/>
        <v>0</v>
      </c>
      <c r="AC278" s="139">
        <f ca="1">IFERROR(ROUND(R278*(1+$K$279),2)+SUM(X278:AB278),0)</f>
        <v>0</v>
      </c>
      <c r="AE278" s="85"/>
      <c r="AF278" s="85"/>
    </row>
    <row r="279" spans="1:32" x14ac:dyDescent="0.2">
      <c r="A279" s="114"/>
      <c r="B279" s="1"/>
      <c r="C279" s="1" t="s">
        <v>1025</v>
      </c>
      <c r="D279" s="15"/>
      <c r="E279" s="1"/>
      <c r="F279" s="1"/>
      <c r="G279" s="1"/>
      <c r="H279" s="1"/>
      <c r="I279" s="1"/>
      <c r="J279" s="1" t="str">
        <f>IF($M$12,"%","")</f>
        <v/>
      </c>
      <c r="K279" s="12">
        <f>IF($C$12=Таблица!$M$7,Таблица!$R$7,IF($C$12=Таблица!$M$8,Таблица!$R$8,1))-1</f>
        <v>0</v>
      </c>
      <c r="L279" s="1"/>
      <c r="M279" s="1"/>
      <c r="N279" s="1"/>
      <c r="O279" s="1"/>
      <c r="P279" s="1"/>
      <c r="Q279" s="1"/>
      <c r="R279" s="249">
        <f>ROUND(SUM(R255:R278)*K279,2)</f>
        <v>0</v>
      </c>
      <c r="S279" s="85"/>
      <c r="T279" s="85"/>
      <c r="U279" s="86"/>
      <c r="V279" s="86"/>
      <c r="W279" s="86"/>
      <c r="Z279" s="143"/>
    </row>
    <row r="280" spans="1:32" s="68" customFormat="1" hidden="1" x14ac:dyDescent="0.2">
      <c r="A280" s="133" t="s">
        <v>636</v>
      </c>
      <c r="B280" s="65"/>
      <c r="C280" s="65" t="s">
        <v>1027</v>
      </c>
      <c r="D280" s="66"/>
      <c r="E280" s="65"/>
      <c r="F280" s="65"/>
      <c r="G280" s="65"/>
      <c r="H280" s="65"/>
      <c r="I280" s="65"/>
      <c r="J280" s="65"/>
      <c r="K280" s="65"/>
      <c r="L280" s="65">
        <v>0</v>
      </c>
      <c r="M280" s="65">
        <v>20</v>
      </c>
      <c r="N280" s="65"/>
      <c r="O280" s="65"/>
      <c r="P280" s="65"/>
      <c r="Q280" s="69"/>
      <c r="R280" s="251"/>
      <c r="S280" s="100">
        <f t="shared" ref="S280:AB280" si="171">SUMIF($M$267:$M$278,"&lt;=20",S$267:S$278)</f>
        <v>0</v>
      </c>
      <c r="T280" s="100">
        <f t="shared" si="171"/>
        <v>0</v>
      </c>
      <c r="U280" s="100">
        <f t="shared" si="171"/>
        <v>0</v>
      </c>
      <c r="V280" s="100">
        <f t="shared" si="171"/>
        <v>0</v>
      </c>
      <c r="W280" s="100">
        <f t="shared" si="171"/>
        <v>0</v>
      </c>
      <c r="X280" s="100">
        <f t="shared" si="171"/>
        <v>0</v>
      </c>
      <c r="Y280" s="100">
        <f t="shared" si="171"/>
        <v>0</v>
      </c>
      <c r="Z280" s="100">
        <f t="shared" si="171"/>
        <v>0</v>
      </c>
      <c r="AA280" s="100">
        <f t="shared" si="171"/>
        <v>0</v>
      </c>
      <c r="AB280" s="100">
        <f t="shared" si="171"/>
        <v>0</v>
      </c>
    </row>
    <row r="281" spans="1:32" s="68" customFormat="1" hidden="1" x14ac:dyDescent="0.2">
      <c r="A281" s="133" t="s">
        <v>636</v>
      </c>
      <c r="B281" s="65"/>
      <c r="C281" s="65" t="s">
        <v>1020</v>
      </c>
      <c r="D281" s="66"/>
      <c r="E281" s="65"/>
      <c r="F281" s="65"/>
      <c r="G281" s="65"/>
      <c r="H281" s="65"/>
      <c r="I281" s="65"/>
      <c r="J281" s="65"/>
      <c r="K281" s="65"/>
      <c r="L281" s="65">
        <v>35</v>
      </c>
      <c r="M281" s="65">
        <v>35</v>
      </c>
      <c r="N281" s="65"/>
      <c r="O281" s="65"/>
      <c r="P281" s="65"/>
      <c r="Q281" s="69"/>
      <c r="R281" s="251"/>
      <c r="S281" s="100">
        <f>SUMIF($M$267:$M$278,"&lt;=35",S$267:S$278)-S280</f>
        <v>0</v>
      </c>
      <c r="T281" s="100">
        <f t="shared" ref="T281:AB281" si="172">SUMIF($M$267:$M$278,"&lt;=35",T$267:T$278)-T280</f>
        <v>0</v>
      </c>
      <c r="U281" s="100">
        <f t="shared" si="172"/>
        <v>0</v>
      </c>
      <c r="V281" s="100">
        <f t="shared" si="172"/>
        <v>0</v>
      </c>
      <c r="W281" s="100">
        <f t="shared" si="172"/>
        <v>0</v>
      </c>
      <c r="X281" s="100">
        <f t="shared" si="172"/>
        <v>0</v>
      </c>
      <c r="Y281" s="100">
        <f t="shared" si="172"/>
        <v>0</v>
      </c>
      <c r="Z281" s="100">
        <f t="shared" si="172"/>
        <v>0</v>
      </c>
      <c r="AA281" s="100">
        <f t="shared" si="172"/>
        <v>0</v>
      </c>
      <c r="AB281" s="100">
        <f t="shared" si="172"/>
        <v>0</v>
      </c>
    </row>
    <row r="282" spans="1:32" s="68" customFormat="1" hidden="1" x14ac:dyDescent="0.2">
      <c r="A282" s="133" t="s">
        <v>636</v>
      </c>
      <c r="B282" s="65"/>
      <c r="C282" s="65" t="s">
        <v>1021</v>
      </c>
      <c r="D282" s="66"/>
      <c r="E282" s="65"/>
      <c r="F282" s="65"/>
      <c r="G282" s="65"/>
      <c r="H282" s="65"/>
      <c r="I282" s="65"/>
      <c r="J282" s="65"/>
      <c r="K282" s="65"/>
      <c r="L282" s="65">
        <v>110</v>
      </c>
      <c r="M282" s="65">
        <v>220</v>
      </c>
      <c r="N282" s="65"/>
      <c r="O282" s="65"/>
      <c r="P282" s="65"/>
      <c r="Q282" s="69"/>
      <c r="R282" s="251"/>
      <c r="S282" s="100">
        <f t="shared" ref="S282:AB282" si="173">SUMIF($M$267:$M$278,"&gt;=110",S$267:S$278)</f>
        <v>0</v>
      </c>
      <c r="T282" s="100">
        <f t="shared" si="173"/>
        <v>0</v>
      </c>
      <c r="U282" s="100">
        <f t="shared" si="173"/>
        <v>0</v>
      </c>
      <c r="V282" s="100">
        <f t="shared" si="173"/>
        <v>0</v>
      </c>
      <c r="W282" s="100">
        <f t="shared" si="173"/>
        <v>0</v>
      </c>
      <c r="X282" s="100">
        <f t="shared" si="173"/>
        <v>0</v>
      </c>
      <c r="Y282" s="100">
        <f t="shared" si="173"/>
        <v>0</v>
      </c>
      <c r="Z282" s="100">
        <f t="shared" si="173"/>
        <v>0</v>
      </c>
      <c r="AA282" s="100">
        <f t="shared" si="173"/>
        <v>0</v>
      </c>
      <c r="AB282" s="100">
        <f t="shared" si="173"/>
        <v>0</v>
      </c>
    </row>
    <row r="283" spans="1:32" x14ac:dyDescent="0.2">
      <c r="A283" s="114"/>
      <c r="B283" s="1"/>
      <c r="C283" s="15" t="s">
        <v>872</v>
      </c>
      <c r="D283" s="15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249">
        <v>0</v>
      </c>
      <c r="S283" s="85"/>
      <c r="T283" s="85"/>
      <c r="U283" s="86"/>
      <c r="V283" s="86"/>
      <c r="W283" s="86"/>
    </row>
    <row r="284" spans="1:32" x14ac:dyDescent="0.2">
      <c r="A284" s="114" t="str">
        <f>IF(C284="","",MAX(A$207:A283)+1)</f>
        <v/>
      </c>
      <c r="B284" s="1" t="str">
        <f>IFERROR(VLOOKUP($C284,Таблица!$B$612:$E$663,2,FALSE),"")</f>
        <v/>
      </c>
      <c r="C284" s="31"/>
      <c r="D284" s="31"/>
      <c r="E284" s="1"/>
      <c r="F284" s="1"/>
      <c r="G284" s="50"/>
      <c r="H284" s="1"/>
      <c r="I284" s="1"/>
      <c r="J284" s="1" t="str">
        <f t="shared" ref="J284:J289" si="174">IF($C284="","","шт.")</f>
        <v/>
      </c>
      <c r="K284" s="64"/>
      <c r="L284" s="1">
        <f>IFERROR(VLOOKUP($C284,Таблица!$B$612:$K$663,3,FALSE),0)</f>
        <v>0</v>
      </c>
      <c r="M284" s="1" t="str">
        <f>IFERROR(VLOOKUP($C284,Таблица!$B$612:$F$663,5,FALSE),"")</f>
        <v/>
      </c>
      <c r="N284" s="1" t="str">
        <f>IFERROR(VLOOKUP($C284,Таблица!$B$612:$E$663,4,FALSE),"")</f>
        <v/>
      </c>
      <c r="O284" s="1">
        <f t="shared" ref="O284" si="175">IF(E284="",1,E284)*IF(F284="",1,F284)*IF(G284="",1,G284)*IF(H284="",1,H284)*IF(I284="",1,I284)</f>
        <v>1</v>
      </c>
      <c r="P284" s="51"/>
      <c r="Q284" s="1" t="str">
        <f>IF(OR(AND(ISERROR(VLOOKUP($C284,Таблица!$B$612:$E$663,2,FALSE)),$C284&lt;&gt;""),P284&lt;&gt;""),"√","")</f>
        <v/>
      </c>
      <c r="R284" s="249">
        <f>IFERROR(ROUND(K284*IF(P284="",N284*O284,P284*O284),2),0)</f>
        <v>0</v>
      </c>
      <c r="S284" s="62">
        <f t="shared" ref="S284:W289" ca="1" si="176">ROUND($AC284*S$206%,2)</f>
        <v>0</v>
      </c>
      <c r="T284" s="62">
        <f t="shared" ca="1" si="176"/>
        <v>0</v>
      </c>
      <c r="U284" s="84">
        <f t="shared" ca="1" si="176"/>
        <v>0</v>
      </c>
      <c r="V284" s="84">
        <f t="shared" ca="1" si="176"/>
        <v>0</v>
      </c>
      <c r="W284" s="84">
        <f t="shared" ca="1" si="176"/>
        <v>0</v>
      </c>
      <c r="X284" s="88">
        <f ca="1">IF($R284="",0,ROUND($R284*X$206,2))</f>
        <v>0</v>
      </c>
      <c r="Y284" s="88">
        <f t="shared" ref="Y284:AB289" ca="1" si="177">IF($R284="",0,ROUND($R284*Y$206,2))</f>
        <v>0</v>
      </c>
      <c r="Z284" s="88">
        <f t="shared" ca="1" si="177"/>
        <v>0</v>
      </c>
      <c r="AA284" s="88">
        <f t="shared" ca="1" si="177"/>
        <v>0</v>
      </c>
      <c r="AB284" s="88">
        <f t="shared" ca="1" si="177"/>
        <v>0</v>
      </c>
      <c r="AC284" s="139">
        <f ca="1">IFERROR(R284+SUM(X284:AB284),0)</f>
        <v>0</v>
      </c>
      <c r="AE284" s="85"/>
      <c r="AF284" s="85"/>
    </row>
    <row r="285" spans="1:32" x14ac:dyDescent="0.2">
      <c r="A285" s="114" t="str">
        <f>IF(C285="","",MAX(A$207:A284)+1)</f>
        <v/>
      </c>
      <c r="B285" s="1" t="str">
        <f>IFERROR(VLOOKUP($C285,Таблица!$B$612:$E$663,2,FALSE),"")</f>
        <v/>
      </c>
      <c r="C285" s="31"/>
      <c r="D285" s="31"/>
      <c r="E285" s="1"/>
      <c r="F285" s="1"/>
      <c r="G285" s="50"/>
      <c r="H285" s="1"/>
      <c r="I285" s="1"/>
      <c r="J285" s="1" t="str">
        <f t="shared" si="174"/>
        <v/>
      </c>
      <c r="K285" s="64"/>
      <c r="L285" s="1">
        <f>IFERROR(VLOOKUP($C285,Таблица!$B$612:$K$663,3,FALSE),0)</f>
        <v>0</v>
      </c>
      <c r="M285" s="56" t="str">
        <f>IFERROR(VLOOKUP($C285,Таблица!$B$612:$F$663,5,FALSE),"")</f>
        <v/>
      </c>
      <c r="N285" s="1" t="str">
        <f>IFERROR(VLOOKUP($C285,Таблица!$B$612:$E$663,4,FALSE),"")</f>
        <v/>
      </c>
      <c r="O285" s="1">
        <f t="shared" ref="O285:O289" si="178">IF(E285="",1,E285)*IF(F285="",1,F285)*IF(G285="",1,G285)*IF(H285="",1,H285)*IF(I285="",1,I285)</f>
        <v>1</v>
      </c>
      <c r="P285" s="51"/>
      <c r="Q285" s="1" t="str">
        <f>IF(OR(AND(ISERROR(VLOOKUP($C285,Таблица!$B$612:$E$663,2,FALSE)),$C285&lt;&gt;""),P285&lt;&gt;""),"√","")</f>
        <v/>
      </c>
      <c r="R285" s="249">
        <f t="shared" ref="R285:R289" si="179">IFERROR(ROUND(K285*IF(P285="",N285*O285,P285*O285),2),0)</f>
        <v>0</v>
      </c>
      <c r="S285" s="62">
        <f t="shared" ca="1" si="176"/>
        <v>0</v>
      </c>
      <c r="T285" s="62">
        <f t="shared" ca="1" si="176"/>
        <v>0</v>
      </c>
      <c r="U285" s="84">
        <f t="shared" ca="1" si="176"/>
        <v>0</v>
      </c>
      <c r="V285" s="84">
        <f t="shared" ca="1" si="176"/>
        <v>0</v>
      </c>
      <c r="W285" s="84">
        <f t="shared" ca="1" si="176"/>
        <v>0</v>
      </c>
      <c r="X285" s="88">
        <f t="shared" ref="X285:X289" ca="1" si="180">IF($R285="",0,ROUND($R285*X$206,2))</f>
        <v>0</v>
      </c>
      <c r="Y285" s="88">
        <f t="shared" ca="1" si="177"/>
        <v>0</v>
      </c>
      <c r="Z285" s="88">
        <f t="shared" ca="1" si="177"/>
        <v>0</v>
      </c>
      <c r="AA285" s="88">
        <f t="shared" ca="1" si="177"/>
        <v>0</v>
      </c>
      <c r="AB285" s="88">
        <f t="shared" ca="1" si="177"/>
        <v>0</v>
      </c>
      <c r="AC285" s="139">
        <f t="shared" ref="AC285:AC289" ca="1" si="181">IFERROR(R285+SUM(X285:AB285),0)</f>
        <v>0</v>
      </c>
      <c r="AE285" s="85"/>
      <c r="AF285" s="85"/>
    </row>
    <row r="286" spans="1:32" x14ac:dyDescent="0.2">
      <c r="A286" s="114" t="str">
        <f>IF(C286="","",MAX(A$207:A285)+1)</f>
        <v/>
      </c>
      <c r="B286" s="1" t="str">
        <f>IFERROR(VLOOKUP($C286,Таблица!$B$612:$E$663,2,FALSE),"")</f>
        <v/>
      </c>
      <c r="C286" s="31"/>
      <c r="D286" s="31"/>
      <c r="E286" s="1"/>
      <c r="F286" s="1"/>
      <c r="G286" s="50"/>
      <c r="H286" s="1"/>
      <c r="I286" s="1"/>
      <c r="J286" s="1" t="str">
        <f t="shared" si="174"/>
        <v/>
      </c>
      <c r="K286" s="64"/>
      <c r="L286" s="1">
        <f>IFERROR(VLOOKUP($C286,Таблица!$B$612:$K$663,3,FALSE),0)</f>
        <v>0</v>
      </c>
      <c r="M286" s="1" t="str">
        <f>IFERROR(VLOOKUP($C286,Таблица!$B$612:$F$663,5,FALSE),"")</f>
        <v/>
      </c>
      <c r="N286" s="1" t="str">
        <f>IFERROR(VLOOKUP($C286,Таблица!$B$612:$E$663,4,FALSE),"")</f>
        <v/>
      </c>
      <c r="O286" s="1">
        <f t="shared" ref="O286:O287" si="182">IF(E286="",1,E286)*IF(F286="",1,F286)*IF(G286="",1,G286)*IF(H286="",1,H286)*IF(I286="",1,I286)</f>
        <v>1</v>
      </c>
      <c r="P286" s="51"/>
      <c r="Q286" s="1" t="str">
        <f>IF(OR(AND(ISERROR(VLOOKUP($C286,Таблица!$B$612:$E$663,2,FALSE)),$C286&lt;&gt;""),P286&lt;&gt;""),"√","")</f>
        <v/>
      </c>
      <c r="R286" s="249">
        <f t="shared" si="179"/>
        <v>0</v>
      </c>
      <c r="S286" s="62">
        <f t="shared" ca="1" si="176"/>
        <v>0</v>
      </c>
      <c r="T286" s="62">
        <f t="shared" ca="1" si="176"/>
        <v>0</v>
      </c>
      <c r="U286" s="84">
        <f t="shared" ca="1" si="176"/>
        <v>0</v>
      </c>
      <c r="V286" s="84">
        <f t="shared" ca="1" si="176"/>
        <v>0</v>
      </c>
      <c r="W286" s="84">
        <f t="shared" ca="1" si="176"/>
        <v>0</v>
      </c>
      <c r="X286" s="88">
        <f t="shared" ca="1" si="180"/>
        <v>0</v>
      </c>
      <c r="Y286" s="88">
        <f t="shared" ca="1" si="177"/>
        <v>0</v>
      </c>
      <c r="Z286" s="88">
        <f t="shared" ca="1" si="177"/>
        <v>0</v>
      </c>
      <c r="AA286" s="88">
        <f t="shared" ca="1" si="177"/>
        <v>0</v>
      </c>
      <c r="AB286" s="88">
        <f t="shared" ca="1" si="177"/>
        <v>0</v>
      </c>
      <c r="AC286" s="139">
        <f t="shared" ca="1" si="181"/>
        <v>0</v>
      </c>
      <c r="AE286" s="85"/>
      <c r="AF286" s="85"/>
    </row>
    <row r="287" spans="1:32" x14ac:dyDescent="0.2">
      <c r="A287" s="114" t="str">
        <f>IF(C287="","",MAX(A$207:A286)+1)</f>
        <v/>
      </c>
      <c r="B287" s="1" t="str">
        <f>IFERROR(VLOOKUP($C287,Таблица!$B$612:$E$663,2,FALSE),"")</f>
        <v/>
      </c>
      <c r="C287" s="31"/>
      <c r="D287" s="31"/>
      <c r="E287" s="1"/>
      <c r="F287" s="1"/>
      <c r="G287" s="50"/>
      <c r="H287" s="1"/>
      <c r="I287" s="1"/>
      <c r="J287" s="1" t="str">
        <f t="shared" si="174"/>
        <v/>
      </c>
      <c r="K287" s="64"/>
      <c r="L287" s="1">
        <f>IFERROR(VLOOKUP($C287,Таблица!$B$612:$K$663,3,FALSE),0)</f>
        <v>0</v>
      </c>
      <c r="M287" s="1" t="str">
        <f>IFERROR(VLOOKUP($C287,Таблица!$B$612:$F$663,5,FALSE),"")</f>
        <v/>
      </c>
      <c r="N287" s="1" t="str">
        <f>IFERROR(VLOOKUP($C287,Таблица!$B$612:$E$663,4,FALSE),"")</f>
        <v/>
      </c>
      <c r="O287" s="1">
        <f t="shared" si="182"/>
        <v>1</v>
      </c>
      <c r="P287" s="51"/>
      <c r="Q287" s="1" t="str">
        <f>IF(OR(AND(ISERROR(VLOOKUP($C287,Таблица!$B$612:$E$663,2,FALSE)),$C287&lt;&gt;""),P287&lt;&gt;""),"√","")</f>
        <v/>
      </c>
      <c r="R287" s="249">
        <f t="shared" si="179"/>
        <v>0</v>
      </c>
      <c r="S287" s="62">
        <f t="shared" ca="1" si="176"/>
        <v>0</v>
      </c>
      <c r="T287" s="62">
        <f t="shared" ca="1" si="176"/>
        <v>0</v>
      </c>
      <c r="U287" s="84">
        <f t="shared" ca="1" si="176"/>
        <v>0</v>
      </c>
      <c r="V287" s="84">
        <f t="shared" ca="1" si="176"/>
        <v>0</v>
      </c>
      <c r="W287" s="84">
        <f t="shared" ca="1" si="176"/>
        <v>0</v>
      </c>
      <c r="X287" s="88">
        <f t="shared" ca="1" si="180"/>
        <v>0</v>
      </c>
      <c r="Y287" s="88">
        <f t="shared" ca="1" si="177"/>
        <v>0</v>
      </c>
      <c r="Z287" s="88">
        <f t="shared" ca="1" si="177"/>
        <v>0</v>
      </c>
      <c r="AA287" s="88">
        <f t="shared" ca="1" si="177"/>
        <v>0</v>
      </c>
      <c r="AB287" s="88">
        <f t="shared" ca="1" si="177"/>
        <v>0</v>
      </c>
      <c r="AC287" s="139">
        <f t="shared" ca="1" si="181"/>
        <v>0</v>
      </c>
      <c r="AE287" s="85"/>
      <c r="AF287" s="85"/>
    </row>
    <row r="288" spans="1:32" x14ac:dyDescent="0.2">
      <c r="A288" s="114" t="str">
        <f>IF(C288="","",MAX(A$207:A287)+1)</f>
        <v/>
      </c>
      <c r="B288" s="1" t="str">
        <f>IFERROR(VLOOKUP($C288,Таблица!$B$612:$E$663,2,FALSE),"")</f>
        <v/>
      </c>
      <c r="C288" s="31"/>
      <c r="D288" s="31"/>
      <c r="E288" s="1"/>
      <c r="F288" s="1"/>
      <c r="G288" s="50"/>
      <c r="H288" s="1"/>
      <c r="I288" s="1"/>
      <c r="J288" s="1" t="str">
        <f t="shared" si="174"/>
        <v/>
      </c>
      <c r="K288" s="64"/>
      <c r="L288" s="1">
        <f>IFERROR(VLOOKUP($C288,Таблица!$B$612:$K$663,3,FALSE),0)</f>
        <v>0</v>
      </c>
      <c r="M288" s="1" t="str">
        <f>IFERROR(VLOOKUP($C288,Таблица!$B$612:$F$663,5,FALSE),"")</f>
        <v/>
      </c>
      <c r="N288" s="1" t="str">
        <f>IFERROR(VLOOKUP($C288,Таблица!$B$612:$E$663,4,FALSE),"")</f>
        <v/>
      </c>
      <c r="O288" s="1">
        <f t="shared" si="178"/>
        <v>1</v>
      </c>
      <c r="P288" s="51"/>
      <c r="Q288" s="1" t="str">
        <f>IF(OR(AND(ISERROR(VLOOKUP($C288,Таблица!$B$612:$E$663,2,FALSE)),$C288&lt;&gt;""),P288&lt;&gt;""),"√","")</f>
        <v/>
      </c>
      <c r="R288" s="249">
        <f t="shared" si="179"/>
        <v>0</v>
      </c>
      <c r="S288" s="62">
        <f t="shared" ca="1" si="176"/>
        <v>0</v>
      </c>
      <c r="T288" s="62">
        <f t="shared" ca="1" si="176"/>
        <v>0</v>
      </c>
      <c r="U288" s="84">
        <f t="shared" ca="1" si="176"/>
        <v>0</v>
      </c>
      <c r="V288" s="84">
        <f t="shared" ca="1" si="176"/>
        <v>0</v>
      </c>
      <c r="W288" s="84">
        <f t="shared" ca="1" si="176"/>
        <v>0</v>
      </c>
      <c r="X288" s="88">
        <f t="shared" ca="1" si="180"/>
        <v>0</v>
      </c>
      <c r="Y288" s="88">
        <f t="shared" ca="1" si="177"/>
        <v>0</v>
      </c>
      <c r="Z288" s="88">
        <f t="shared" ca="1" si="177"/>
        <v>0</v>
      </c>
      <c r="AA288" s="88">
        <f t="shared" ca="1" si="177"/>
        <v>0</v>
      </c>
      <c r="AB288" s="88">
        <f t="shared" ca="1" si="177"/>
        <v>0</v>
      </c>
      <c r="AC288" s="139">
        <f t="shared" ca="1" si="181"/>
        <v>0</v>
      </c>
      <c r="AE288" s="85"/>
      <c r="AF288" s="85"/>
    </row>
    <row r="289" spans="1:32" s="60" customFormat="1" x14ac:dyDescent="0.2">
      <c r="A289" s="114" t="str">
        <f>IF(C289="","",MAX(A$207:A288)+1)</f>
        <v/>
      </c>
      <c r="B289" s="56" t="str">
        <f>IFERROR(VLOOKUP($C289,Таблица!$B$612:$E$663,2,FALSE),"")</f>
        <v/>
      </c>
      <c r="C289" s="48"/>
      <c r="D289" s="48"/>
      <c r="E289" s="56"/>
      <c r="F289" s="56"/>
      <c r="G289" s="50"/>
      <c r="H289" s="56"/>
      <c r="I289" s="56"/>
      <c r="J289" s="56" t="str">
        <f t="shared" si="174"/>
        <v/>
      </c>
      <c r="K289" s="64"/>
      <c r="L289" s="56">
        <f>IFERROR(VLOOKUP($C289,Таблица!$B$612:$K$663,3,FALSE),0)</f>
        <v>0</v>
      </c>
      <c r="M289" s="56" t="str">
        <f>IFERROR(VLOOKUP($C289,Таблица!$B$612:$F$663,5,FALSE),"")</f>
        <v/>
      </c>
      <c r="N289" s="56" t="str">
        <f>IFERROR(VLOOKUP($C289,Таблица!$B$612:$E$663,4,FALSE),"")</f>
        <v/>
      </c>
      <c r="O289" s="56">
        <f t="shared" si="178"/>
        <v>1</v>
      </c>
      <c r="P289" s="51"/>
      <c r="Q289" s="56" t="str">
        <f>IF(OR(AND(ISERROR(VLOOKUP($C289,Таблица!$B$612:$E$663,2,FALSE)),$C289&lt;&gt;""),P289&lt;&gt;""),"√","")</f>
        <v/>
      </c>
      <c r="R289" s="249">
        <f t="shared" si="179"/>
        <v>0</v>
      </c>
      <c r="S289" s="62">
        <f t="shared" ca="1" si="176"/>
        <v>0</v>
      </c>
      <c r="T289" s="62">
        <f t="shared" ca="1" si="176"/>
        <v>0</v>
      </c>
      <c r="U289" s="84">
        <f t="shared" ca="1" si="176"/>
        <v>0</v>
      </c>
      <c r="V289" s="84">
        <f t="shared" ca="1" si="176"/>
        <v>0</v>
      </c>
      <c r="W289" s="84">
        <f t="shared" ca="1" si="176"/>
        <v>0</v>
      </c>
      <c r="X289" s="88">
        <f t="shared" ca="1" si="180"/>
        <v>0</v>
      </c>
      <c r="Y289" s="88">
        <f t="shared" ca="1" si="177"/>
        <v>0</v>
      </c>
      <c r="Z289" s="88">
        <f t="shared" ca="1" si="177"/>
        <v>0</v>
      </c>
      <c r="AA289" s="88">
        <f t="shared" ca="1" si="177"/>
        <v>0</v>
      </c>
      <c r="AB289" s="88">
        <f t="shared" ca="1" si="177"/>
        <v>0</v>
      </c>
      <c r="AC289" s="139">
        <f t="shared" ca="1" si="181"/>
        <v>0</v>
      </c>
      <c r="AD289" s="89"/>
      <c r="AE289" s="85"/>
      <c r="AF289" s="85"/>
    </row>
    <row r="290" spans="1:32" s="68" customFormat="1" hidden="1" x14ac:dyDescent="0.2">
      <c r="A290" s="133" t="s">
        <v>636</v>
      </c>
      <c r="B290" s="65"/>
      <c r="C290" s="65" t="s">
        <v>1017</v>
      </c>
      <c r="D290" s="66"/>
      <c r="E290" s="65"/>
      <c r="F290" s="65"/>
      <c r="G290" s="65"/>
      <c r="H290" s="65"/>
      <c r="I290" s="65"/>
      <c r="J290" s="65"/>
      <c r="K290" s="65"/>
      <c r="L290" s="144">
        <v>0.4</v>
      </c>
      <c r="M290" s="66">
        <v>20</v>
      </c>
      <c r="N290" s="65"/>
      <c r="O290" s="65"/>
      <c r="P290" s="65"/>
      <c r="Q290" s="65"/>
      <c r="R290" s="251"/>
      <c r="S290" s="100">
        <f>SUMIF($M$284:$M$289,"&lt;=20",S$284:S$289)</f>
        <v>0</v>
      </c>
      <c r="T290" s="100">
        <f t="shared" ref="T290:W290" si="183">SUMIF($M$284:$M$289,"&lt;=20",T$284:T$289)</f>
        <v>0</v>
      </c>
      <c r="U290" s="100">
        <f t="shared" si="183"/>
        <v>0</v>
      </c>
      <c r="V290" s="100">
        <f t="shared" si="183"/>
        <v>0</v>
      </c>
      <c r="W290" s="100">
        <f t="shared" si="183"/>
        <v>0</v>
      </c>
      <c r="X290" s="100">
        <f>SUMIF($M$284:$M$289,"&lt;=20",X$284:X$289)-IF($P$13&gt;$M290,SUMIF($M$284:$M$289,"=0",X$284:X$289))</f>
        <v>0</v>
      </c>
      <c r="Y290" s="100">
        <f>SUMIF($M$284:$M$289,"&lt;=20",Y$284:Y$289)-IF($P$13&gt;$M290,SUMIF($M$284:$M$289,"=0",Y$284:Y$289))</f>
        <v>0</v>
      </c>
      <c r="Z290" s="100">
        <f>SUMIF($M$284:$M$289,"&lt;=20",Z$284:Z$289)-IF($P$13&gt;$M290,SUMIF($M$284:$M$289,"=0",Z$284:Z$289))</f>
        <v>0</v>
      </c>
      <c r="AA290" s="100">
        <f>SUMIF($M$284:$M$289,"&lt;=20",AA$284:AA$289)-IF($P$13&gt;$M290,SUMIF($M$284:$M$289,"=0",AA$284:AA$289))</f>
        <v>0</v>
      </c>
      <c r="AB290" s="100">
        <f>SUMIF($M$284:$M$289,"&lt;=20",AB$284:AB$289)-IF($P$13&gt;$M290,SUMIF($M$284:$M$289,"=0",AB$284:AB$289))</f>
        <v>0</v>
      </c>
    </row>
    <row r="291" spans="1:32" s="68" customFormat="1" hidden="1" x14ac:dyDescent="0.2">
      <c r="A291" s="133" t="s">
        <v>636</v>
      </c>
      <c r="B291" s="65"/>
      <c r="C291" s="65" t="s">
        <v>1018</v>
      </c>
      <c r="D291" s="66"/>
      <c r="E291" s="65"/>
      <c r="F291" s="65"/>
      <c r="G291" s="65"/>
      <c r="H291" s="65"/>
      <c r="I291" s="65"/>
      <c r="J291" s="65"/>
      <c r="K291" s="65"/>
      <c r="L291" s="67">
        <v>35</v>
      </c>
      <c r="M291" s="66">
        <v>35</v>
      </c>
      <c r="N291" s="65"/>
      <c r="O291" s="65"/>
      <c r="P291" s="65"/>
      <c r="Q291" s="65"/>
      <c r="R291" s="251"/>
      <c r="S291" s="100">
        <f>SUMIF($M$284:$M$289,"=35",S$284:S$289)-S290</f>
        <v>0</v>
      </c>
      <c r="T291" s="100">
        <f t="shared" ref="T291:W291" si="184">SUMIF($M$284:$M$289,"=35",T$284:T$289)-T290</f>
        <v>0</v>
      </c>
      <c r="U291" s="100">
        <f t="shared" si="184"/>
        <v>0</v>
      </c>
      <c r="V291" s="100">
        <f t="shared" si="184"/>
        <v>0</v>
      </c>
      <c r="W291" s="100">
        <f t="shared" si="184"/>
        <v>0</v>
      </c>
      <c r="X291" s="100">
        <f>SUMIF($M$284:$M$289,"&lt;=35",X$284:X$289)-X290-IF($P$13&gt;$M291,SUMIF($M$284:$M$289,"=0",X$284:X$289))</f>
        <v>0</v>
      </c>
      <c r="Y291" s="100">
        <f>SUMIF($M$284:$M$289,"&lt;=35",Y$284:Y$289)-Y290-IF($P$13&gt;$M291,SUMIF($M$284:$M$289,"=0",Y$284:Y$289))</f>
        <v>0</v>
      </c>
      <c r="Z291" s="100">
        <f>SUMIF($M$284:$M$289,"&lt;=35",Z$284:Z$289)-Z290-IF($P$13&gt;$M291,SUMIF($M$284:$M$289,"=0",Z$284:Z$289))</f>
        <v>0</v>
      </c>
      <c r="AA291" s="100">
        <f>SUMIF($M$284:$M$289,"&lt;=35",AA$284:AA$289)-AA290-IF($P$13&gt;$M291,SUMIF($M$284:$M$289,"=0",AA$284:AA$289))</f>
        <v>0</v>
      </c>
      <c r="AB291" s="100">
        <f>SUMIF($M$284:$M$289,"&lt;=35",AB$284:AB$289)-AB290-IF($P$13&gt;$M291,SUMIF($M$284:$M$289,"=0",AB$284:AB$289))</f>
        <v>0</v>
      </c>
    </row>
    <row r="292" spans="1:32" s="68" customFormat="1" hidden="1" x14ac:dyDescent="0.2">
      <c r="A292" s="133" t="s">
        <v>636</v>
      </c>
      <c r="B292" s="65"/>
      <c r="C292" s="65" t="s">
        <v>1019</v>
      </c>
      <c r="D292" s="66"/>
      <c r="E292" s="65"/>
      <c r="F292" s="65"/>
      <c r="G292" s="65"/>
      <c r="H292" s="65"/>
      <c r="I292" s="65"/>
      <c r="J292" s="65"/>
      <c r="K292" s="65"/>
      <c r="L292" s="67">
        <v>110</v>
      </c>
      <c r="M292" s="66">
        <v>220</v>
      </c>
      <c r="N292" s="65"/>
      <c r="O292" s="65"/>
      <c r="P292" s="65"/>
      <c r="Q292" s="65"/>
      <c r="R292" s="251"/>
      <c r="S292" s="100">
        <f>SUMIF($M$284:$M$289,"&gt;=110",S$284:S$289)</f>
        <v>0</v>
      </c>
      <c r="T292" s="100">
        <f t="shared" ref="T292:W292" si="185">SUMIF($M$284:$M$289,"&gt;=110",T$284:T$289)</f>
        <v>0</v>
      </c>
      <c r="U292" s="100">
        <f t="shared" si="185"/>
        <v>0</v>
      </c>
      <c r="V292" s="100">
        <f t="shared" si="185"/>
        <v>0</v>
      </c>
      <c r="W292" s="100">
        <f t="shared" si="185"/>
        <v>0</v>
      </c>
      <c r="X292" s="100">
        <f>SUMIF($M$284:$M$289,"&gt;=110",X$284:X$289)++IF($P$13&gt;=$M292,SUMIF($M$284:$M$289,"=0",X$284:X$289))</f>
        <v>0</v>
      </c>
      <c r="Y292" s="100">
        <f>SUMIF($M$284:$M$289,"&gt;=110",Y$284:Y$289)++IF($P$13&gt;=$M292,SUMIF($M$284:$M$289,"=0",Y$284:Y$289))</f>
        <v>0</v>
      </c>
      <c r="Z292" s="100">
        <f>SUMIF($M$284:$M$289,"&gt;=110",Z$284:Z$289)++IF($P$13&gt;=$M292,SUMIF($M$284:$M$289,"=0",Z$284:Z$289))</f>
        <v>0</v>
      </c>
      <c r="AA292" s="100">
        <f>SUMIF($M$284:$M$289,"&gt;=110",AA$284:AA$289)++IF($P$13&gt;=$M292,SUMIF($M$284:$M$289,"=0",AA$284:AA$289))</f>
        <v>0</v>
      </c>
      <c r="AB292" s="100">
        <f>SUMIF($M$284:$M$289,"&gt;=110",AB$284:AB$289)++IF($P$13&gt;=$M292,SUMIF($M$284:$M$289,"=0",AB$284:AB$289))</f>
        <v>0</v>
      </c>
    </row>
    <row r="293" spans="1:32" x14ac:dyDescent="0.2">
      <c r="A293" s="114"/>
      <c r="B293" s="1"/>
      <c r="C293" s="1" t="s">
        <v>477</v>
      </c>
      <c r="D293" s="1"/>
      <c r="E293" s="1"/>
      <c r="F293" s="1"/>
      <c r="G293" s="1"/>
      <c r="H293" s="1"/>
      <c r="I293" s="1"/>
      <c r="J293" s="1"/>
      <c r="K293" s="1"/>
      <c r="L293" s="1"/>
      <c r="M293" s="15">
        <f>MAX(M210:M214,M216:M220,M232:M235,M241:M244,M246:M249,M255:M262,M267:M270,M272:M273,M275:M278)</f>
        <v>110</v>
      </c>
      <c r="N293" s="1"/>
      <c r="O293" s="1"/>
      <c r="P293" s="1"/>
      <c r="Q293" s="1"/>
      <c r="R293" s="249">
        <f>SUM(R210:R289)</f>
        <v>2393.5700000000002</v>
      </c>
      <c r="S293" s="85">
        <f ca="1">SUM(S294:S296)</f>
        <v>605.22</v>
      </c>
      <c r="T293" s="85">
        <f t="shared" ref="T293:W293" ca="1" si="186">SUM(T294:T296)</f>
        <v>1911.22</v>
      </c>
      <c r="U293" s="85">
        <f t="shared" ca="1" si="186"/>
        <v>127.41</v>
      </c>
      <c r="V293" s="85">
        <f t="shared" ca="1" si="186"/>
        <v>254.83</v>
      </c>
      <c r="W293" s="85">
        <f t="shared" ca="1" si="186"/>
        <v>286.68</v>
      </c>
      <c r="X293" s="89">
        <f t="shared" ref="X293" ca="1" si="187">SUM(X294:X296)</f>
        <v>215.42</v>
      </c>
      <c r="Y293" s="89">
        <f t="shared" ref="Y293:AB293" ca="1" si="188">SUM(Y294:Y296)</f>
        <v>93.35</v>
      </c>
      <c r="Z293" s="89">
        <f t="shared" ca="1" si="188"/>
        <v>203.45</v>
      </c>
      <c r="AA293" s="89">
        <f t="shared" ca="1" si="188"/>
        <v>76.12</v>
      </c>
      <c r="AB293" s="89">
        <f t="shared" ca="1" si="188"/>
        <v>203.45</v>
      </c>
      <c r="AC293" s="137">
        <f ca="1">SUM(X293:AB293)</f>
        <v>791.79</v>
      </c>
    </row>
    <row r="294" spans="1:32" s="68" customFormat="1" hidden="1" x14ac:dyDescent="0.2">
      <c r="A294" s="133" t="s">
        <v>636</v>
      </c>
      <c r="B294" s="65"/>
      <c r="C294" s="65" t="s">
        <v>1038</v>
      </c>
      <c r="D294" s="65"/>
      <c r="E294" s="65"/>
      <c r="F294" s="65"/>
      <c r="G294" s="65"/>
      <c r="H294" s="65"/>
      <c r="I294" s="65"/>
      <c r="J294" s="65"/>
      <c r="K294" s="65"/>
      <c r="L294" s="65">
        <v>0</v>
      </c>
      <c r="M294" s="65">
        <v>20</v>
      </c>
      <c r="N294" s="65"/>
      <c r="O294" s="65"/>
      <c r="P294" s="65"/>
      <c r="Q294" s="69"/>
      <c r="R294" s="251"/>
      <c r="S294" s="100">
        <f>S290+S221+S237+S251+S263+S280</f>
        <v>0</v>
      </c>
      <c r="T294" s="100">
        <f t="shared" ref="T294:AB294" si="189">T290+T221+T237+T251+T263+T280</f>
        <v>0</v>
      </c>
      <c r="U294" s="100">
        <f t="shared" si="189"/>
        <v>0</v>
      </c>
      <c r="V294" s="100">
        <f t="shared" si="189"/>
        <v>0</v>
      </c>
      <c r="W294" s="100">
        <f t="shared" si="189"/>
        <v>0</v>
      </c>
      <c r="X294" s="99">
        <f t="shared" si="189"/>
        <v>0</v>
      </c>
      <c r="Y294" s="99">
        <f t="shared" si="189"/>
        <v>0</v>
      </c>
      <c r="Z294" s="99">
        <f t="shared" si="189"/>
        <v>0</v>
      </c>
      <c r="AA294" s="99">
        <f t="shared" si="189"/>
        <v>0</v>
      </c>
      <c r="AB294" s="99">
        <f t="shared" si="189"/>
        <v>0</v>
      </c>
    </row>
    <row r="295" spans="1:32" s="68" customFormat="1" hidden="1" x14ac:dyDescent="0.2">
      <c r="A295" s="133" t="s">
        <v>636</v>
      </c>
      <c r="B295" s="65"/>
      <c r="C295" s="65" t="s">
        <v>1020</v>
      </c>
      <c r="D295" s="65"/>
      <c r="E295" s="65"/>
      <c r="F295" s="65"/>
      <c r="G295" s="65"/>
      <c r="H295" s="65"/>
      <c r="I295" s="65"/>
      <c r="J295" s="65"/>
      <c r="K295" s="65"/>
      <c r="L295" s="65">
        <v>35</v>
      </c>
      <c r="M295" s="65">
        <v>35</v>
      </c>
      <c r="N295" s="65"/>
      <c r="O295" s="65"/>
      <c r="P295" s="65"/>
      <c r="Q295" s="69"/>
      <c r="R295" s="251"/>
      <c r="S295" s="100">
        <f>S291+S222+S238+S252+S264+S281</f>
        <v>0</v>
      </c>
      <c r="T295" s="100">
        <f t="shared" ref="T295:AB295" si="190">T291+T222+T238+T252+T264+T281</f>
        <v>0</v>
      </c>
      <c r="U295" s="100">
        <f t="shared" si="190"/>
        <v>0</v>
      </c>
      <c r="V295" s="100">
        <f t="shared" si="190"/>
        <v>0</v>
      </c>
      <c r="W295" s="100">
        <f t="shared" si="190"/>
        <v>0</v>
      </c>
      <c r="X295" s="99">
        <f t="shared" si="190"/>
        <v>0</v>
      </c>
      <c r="Y295" s="99">
        <f t="shared" si="190"/>
        <v>0</v>
      </c>
      <c r="Z295" s="99">
        <f t="shared" si="190"/>
        <v>0</v>
      </c>
      <c r="AA295" s="99">
        <f t="shared" si="190"/>
        <v>0</v>
      </c>
      <c r="AB295" s="99">
        <f t="shared" si="190"/>
        <v>0</v>
      </c>
    </row>
    <row r="296" spans="1:32" s="68" customFormat="1" hidden="1" x14ac:dyDescent="0.2">
      <c r="A296" s="133" t="s">
        <v>636</v>
      </c>
      <c r="B296" s="65"/>
      <c r="C296" s="65" t="s">
        <v>1021</v>
      </c>
      <c r="D296" s="65"/>
      <c r="E296" s="65"/>
      <c r="F296" s="65"/>
      <c r="G296" s="65"/>
      <c r="H296" s="65"/>
      <c r="I296" s="65"/>
      <c r="J296" s="65"/>
      <c r="K296" s="65"/>
      <c r="L296" s="65">
        <v>110</v>
      </c>
      <c r="M296" s="65">
        <v>220</v>
      </c>
      <c r="N296" s="65"/>
      <c r="O296" s="65"/>
      <c r="P296" s="65"/>
      <c r="Q296" s="69"/>
      <c r="R296" s="251"/>
      <c r="S296" s="100">
        <f ca="1">S292+S223+S239+S253+S265+S282</f>
        <v>605.22</v>
      </c>
      <c r="T296" s="100">
        <f t="shared" ref="T296:AB296" ca="1" si="191">T292+T223+T239+T253+T265+T282</f>
        <v>1911.22</v>
      </c>
      <c r="U296" s="100">
        <f t="shared" ca="1" si="191"/>
        <v>127.41</v>
      </c>
      <c r="V296" s="100">
        <f t="shared" ca="1" si="191"/>
        <v>254.83</v>
      </c>
      <c r="W296" s="100">
        <f t="shared" ca="1" si="191"/>
        <v>286.68</v>
      </c>
      <c r="X296" s="99">
        <f t="shared" ca="1" si="191"/>
        <v>215.42</v>
      </c>
      <c r="Y296" s="99">
        <f t="shared" ca="1" si="191"/>
        <v>93.35</v>
      </c>
      <c r="Z296" s="99">
        <f t="shared" ca="1" si="191"/>
        <v>203.45</v>
      </c>
      <c r="AA296" s="99">
        <f t="shared" ca="1" si="191"/>
        <v>76.12</v>
      </c>
      <c r="AB296" s="99">
        <f t="shared" ca="1" si="191"/>
        <v>203.45</v>
      </c>
    </row>
    <row r="297" spans="1:32" x14ac:dyDescent="0.2">
      <c r="A297" s="181"/>
      <c r="B297" s="182"/>
      <c r="C297" s="182" t="s">
        <v>469</v>
      </c>
      <c r="D297" s="182"/>
      <c r="E297" s="182"/>
      <c r="F297" s="182"/>
      <c r="G297" s="182"/>
      <c r="H297" s="182"/>
      <c r="I297" s="182"/>
      <c r="J297" s="182" t="s">
        <v>403</v>
      </c>
      <c r="K297" s="184">
        <f ca="1">$M$11-1</f>
        <v>0.21999999999999997</v>
      </c>
      <c r="L297" s="184"/>
      <c r="M297" s="182"/>
      <c r="N297" s="182"/>
      <c r="O297" s="182"/>
      <c r="P297" s="201" t="s">
        <v>403</v>
      </c>
      <c r="Q297" s="182"/>
      <c r="R297" s="249"/>
      <c r="S297" s="85"/>
      <c r="T297" s="85"/>
      <c r="U297" s="86"/>
      <c r="V297" s="86"/>
      <c r="W297" s="86"/>
    </row>
    <row r="298" spans="1:32" x14ac:dyDescent="0.2">
      <c r="A298" s="181"/>
      <c r="B298" s="182"/>
      <c r="C298" s="187" t="s">
        <v>983</v>
      </c>
      <c r="D298" s="187"/>
      <c r="E298" s="182"/>
      <c r="F298" s="182"/>
      <c r="G298" s="182"/>
      <c r="H298" s="182"/>
      <c r="I298" s="182"/>
      <c r="J298" s="182"/>
      <c r="K298" s="182"/>
      <c r="L298" s="182"/>
      <c r="M298" s="127"/>
      <c r="N298" s="127"/>
      <c r="O298" s="182"/>
      <c r="P298" s="191">
        <f ca="1">IF(R$298%,R298/R$298%,"")</f>
        <v>100</v>
      </c>
      <c r="Q298" s="182"/>
      <c r="R298" s="249">
        <f ca="1">ROUND((R293-(SUM(R210:R224)-SUM(AC210:AC220))*$P$12-SUM(X210:AB214,X216:AB220))*(1+$K$297),2)</f>
        <v>2920.16</v>
      </c>
      <c r="S298" s="85">
        <f>SUM(R225:R289)+SUM(R210:R224)-SUM(AC210:AC220)</f>
        <v>2393.5700000000002</v>
      </c>
      <c r="T298" s="85">
        <f ca="1">SUM(X294:AB296)</f>
        <v>791.79</v>
      </c>
      <c r="U298" s="86">
        <f ca="1">ROUND(S298*(1+$P$12)+T298+SUM(R207:R208)-(R307-R306)/(1+$K$297)-R306/(1+$P$12),2)</f>
        <v>-0.01</v>
      </c>
      <c r="V298" s="86"/>
      <c r="W298" s="86"/>
      <c r="X298" s="143"/>
    </row>
    <row r="299" spans="1:32" x14ac:dyDescent="0.2">
      <c r="A299" s="181"/>
      <c r="B299" s="182"/>
      <c r="C299" s="182" t="s">
        <v>982</v>
      </c>
      <c r="D299" s="182"/>
      <c r="E299" s="182"/>
      <c r="F299" s="182"/>
      <c r="G299" s="182"/>
      <c r="H299" s="182"/>
      <c r="I299" s="182"/>
      <c r="J299" s="182"/>
      <c r="K299" s="182"/>
      <c r="L299" s="182"/>
      <c r="M299" s="127"/>
      <c r="N299" s="127"/>
      <c r="O299" s="182"/>
      <c r="P299" s="191">
        <f ca="1">IF(SUM(P300:P305),SUM(P300:P305),"")</f>
        <v>36.079872335762424</v>
      </c>
      <c r="Q299" s="194"/>
      <c r="R299" s="254">
        <f ca="1">SUM(R300:R305)</f>
        <v>1053.5899999999999</v>
      </c>
      <c r="S299" s="85">
        <f ca="1">ROUND(R299-AC293*(1+K297)-R305,2)</f>
        <v>0.01</v>
      </c>
      <c r="T299" s="53"/>
      <c r="U299" s="80"/>
      <c r="V299" s="86"/>
      <c r="W299" s="86"/>
      <c r="X299" s="143"/>
    </row>
    <row r="300" spans="1:32" x14ac:dyDescent="0.2">
      <c r="A300" s="181"/>
      <c r="B300" s="182" t="s">
        <v>1267</v>
      </c>
      <c r="C300" s="183" t="s">
        <v>1233</v>
      </c>
      <c r="D300" s="182"/>
      <c r="E300" s="182"/>
      <c r="F300" s="182"/>
      <c r="G300" s="182"/>
      <c r="H300" s="182"/>
      <c r="I300" s="182"/>
      <c r="J300" s="182"/>
      <c r="K300" s="184"/>
      <c r="L300" s="184"/>
      <c r="M300" s="127"/>
      <c r="N300" s="127"/>
      <c r="O300" s="182"/>
      <c r="P300" s="192">
        <f t="shared" ref="P300:P306" ca="1" si="192">IF(R$298%,R300/R$298%,"")</f>
        <v>8.9998493233247494</v>
      </c>
      <c r="Q300" s="182"/>
      <c r="R300" s="249">
        <f ca="1">ROUND(X293*(1+$K$297),2)</f>
        <v>262.81</v>
      </c>
      <c r="S300" s="53"/>
      <c r="T300" s="53"/>
      <c r="U300" s="80"/>
      <c r="V300" s="86"/>
      <c r="W300" s="86"/>
      <c r="X300" s="143"/>
    </row>
    <row r="301" spans="1:32" x14ac:dyDescent="0.2">
      <c r="A301" s="181"/>
      <c r="B301" s="182" t="s">
        <v>1267</v>
      </c>
      <c r="C301" s="203" t="str">
        <f>"временные здания и сооружения"&amp;IF(ISBLANK($C$12),""," (К=0,8)")</f>
        <v>временные здания и сооружения</v>
      </c>
      <c r="D301" s="182"/>
      <c r="E301" s="182"/>
      <c r="F301" s="182"/>
      <c r="G301" s="182"/>
      <c r="H301" s="182"/>
      <c r="I301" s="182"/>
      <c r="J301" s="182"/>
      <c r="K301" s="184"/>
      <c r="L301" s="184"/>
      <c r="M301" s="127"/>
      <c r="N301" s="127"/>
      <c r="O301" s="182"/>
      <c r="P301" s="192">
        <f t="shared" ca="1" si="192"/>
        <v>3.9001287600679415</v>
      </c>
      <c r="Q301" s="182"/>
      <c r="R301" s="249">
        <f ca="1">ROUND(Y293*(1+$K$297),2)</f>
        <v>113.89</v>
      </c>
      <c r="S301" s="53"/>
      <c r="T301" s="53"/>
      <c r="U301" s="80"/>
      <c r="V301" s="86"/>
      <c r="W301" s="86"/>
      <c r="X301" s="143"/>
      <c r="Y301" s="143"/>
    </row>
    <row r="302" spans="1:32" x14ac:dyDescent="0.2">
      <c r="A302" s="181"/>
      <c r="B302" s="182" t="s">
        <v>1267</v>
      </c>
      <c r="C302" s="203" t="s">
        <v>1333</v>
      </c>
      <c r="D302" s="182"/>
      <c r="E302" s="182"/>
      <c r="F302" s="182"/>
      <c r="G302" s="182"/>
      <c r="H302" s="182"/>
      <c r="I302" s="182"/>
      <c r="J302" s="182"/>
      <c r="K302" s="184"/>
      <c r="L302" s="184"/>
      <c r="M302" s="127"/>
      <c r="N302" s="127"/>
      <c r="O302" s="182"/>
      <c r="P302" s="192">
        <f t="shared" ca="1" si="192"/>
        <v>8.4998767190838862</v>
      </c>
      <c r="Q302" s="182"/>
      <c r="R302" s="249">
        <f ca="1">ROUND(Z293*(1+$K$297),2)</f>
        <v>248.21</v>
      </c>
      <c r="S302" s="53"/>
      <c r="T302" s="53"/>
      <c r="U302" s="80"/>
      <c r="V302" s="86"/>
      <c r="W302" s="86"/>
    </row>
    <row r="303" spans="1:32" x14ac:dyDescent="0.2">
      <c r="A303" s="181"/>
      <c r="B303" s="182" t="s">
        <v>1267</v>
      </c>
      <c r="C303" s="364" t="s">
        <v>1234</v>
      </c>
      <c r="D303" s="182"/>
      <c r="E303" s="182"/>
      <c r="F303" s="182"/>
      <c r="G303" s="182"/>
      <c r="H303" s="182"/>
      <c r="I303" s="182"/>
      <c r="J303" s="182"/>
      <c r="K303" s="184"/>
      <c r="L303" s="184"/>
      <c r="M303" s="127"/>
      <c r="N303" s="127"/>
      <c r="O303" s="182"/>
      <c r="P303" s="192">
        <f t="shared" ca="1" si="192"/>
        <v>3.1803051887567806</v>
      </c>
      <c r="Q303" s="182"/>
      <c r="R303" s="249">
        <f ca="1">ROUND(AA293*(1+$K$297),2)</f>
        <v>92.87</v>
      </c>
      <c r="S303" s="53"/>
      <c r="T303" s="53"/>
      <c r="U303" s="80"/>
      <c r="V303" s="86"/>
      <c r="W303" s="86"/>
    </row>
    <row r="304" spans="1:32" x14ac:dyDescent="0.2">
      <c r="A304" s="181"/>
      <c r="B304" s="182" t="s">
        <v>1267</v>
      </c>
      <c r="C304" s="203" t="s">
        <v>1031</v>
      </c>
      <c r="D304" s="182"/>
      <c r="E304" s="182"/>
      <c r="F304" s="182"/>
      <c r="G304" s="182"/>
      <c r="H304" s="182"/>
      <c r="I304" s="182"/>
      <c r="J304" s="182"/>
      <c r="K304" s="184"/>
      <c r="L304" s="184"/>
      <c r="M304" s="127"/>
      <c r="N304" s="127"/>
      <c r="O304" s="182"/>
      <c r="P304" s="192">
        <f t="shared" ca="1" si="192"/>
        <v>8.4998767190838862</v>
      </c>
      <c r="Q304" s="182"/>
      <c r="R304" s="249">
        <f ca="1">ROUND(AB293*(1+$K$297),2)</f>
        <v>248.21</v>
      </c>
      <c r="S304" s="60"/>
      <c r="T304" s="53"/>
      <c r="U304" s="80"/>
      <c r="V304" s="86"/>
      <c r="W304" s="86"/>
    </row>
    <row r="305" spans="1:30" s="60" customFormat="1" ht="12.75" customHeight="1" x14ac:dyDescent="0.2">
      <c r="A305" s="181"/>
      <c r="B305" s="182" t="s">
        <v>1267</v>
      </c>
      <c r="C305" s="203" t="s">
        <v>1034</v>
      </c>
      <c r="D305" s="182"/>
      <c r="E305" s="182"/>
      <c r="F305" s="182"/>
      <c r="G305" s="182"/>
      <c r="H305" s="182"/>
      <c r="I305" s="182"/>
      <c r="J305" s="182"/>
      <c r="K305" s="184"/>
      <c r="L305" s="184"/>
      <c r="M305" s="127"/>
      <c r="N305" s="127"/>
      <c r="O305" s="182"/>
      <c r="P305" s="192">
        <f t="shared" ca="1" si="192"/>
        <v>2.999835625445181</v>
      </c>
      <c r="Q305" s="182"/>
      <c r="R305" s="249">
        <f ca="1">ROUND(R298*$P$12,2)</f>
        <v>87.6</v>
      </c>
      <c r="S305" s="212">
        <f ca="1">IF(R307-R305-R306,R305/(R307-R305-R306),0)</f>
        <v>2.2541590005532467E-2</v>
      </c>
      <c r="T305" s="53"/>
      <c r="U305" s="80"/>
      <c r="V305" s="80"/>
      <c r="W305" s="80"/>
      <c r="X305" s="89"/>
      <c r="Y305" s="89"/>
      <c r="Z305" s="89"/>
      <c r="AA305" s="89"/>
      <c r="AB305" s="89"/>
      <c r="AC305" s="137"/>
      <c r="AD305" s="89"/>
    </row>
    <row r="306" spans="1:30" s="60" customFormat="1" x14ac:dyDescent="0.2">
      <c r="A306" s="181"/>
      <c r="B306" s="182"/>
      <c r="C306" s="194" t="s">
        <v>948</v>
      </c>
      <c r="D306" s="182"/>
      <c r="E306" s="182"/>
      <c r="F306" s="182"/>
      <c r="G306" s="182"/>
      <c r="H306" s="182"/>
      <c r="I306" s="182"/>
      <c r="J306" s="182"/>
      <c r="K306" s="184"/>
      <c r="L306" s="184"/>
      <c r="M306" s="127"/>
      <c r="N306" s="127"/>
      <c r="O306" s="182"/>
      <c r="P306" s="191">
        <f t="shared" ca="1" si="192"/>
        <v>0</v>
      </c>
      <c r="Q306" s="182"/>
      <c r="R306" s="249">
        <f>ROUND(SUM(R207:R208)*(1+$P$12),2)</f>
        <v>0</v>
      </c>
      <c r="S306" s="53"/>
      <c r="T306" s="53"/>
      <c r="U306" s="80"/>
      <c r="V306" s="86"/>
      <c r="W306" s="86"/>
      <c r="X306" s="89"/>
      <c r="Y306" s="89"/>
      <c r="Z306" s="89"/>
      <c r="AA306" s="89"/>
      <c r="AB306" s="89"/>
      <c r="AC306" s="137"/>
      <c r="AD306" s="89"/>
    </row>
    <row r="307" spans="1:30" x14ac:dyDescent="0.2">
      <c r="A307" s="181"/>
      <c r="B307" s="182"/>
      <c r="C307" s="186" t="s">
        <v>1334</v>
      </c>
      <c r="D307" s="186"/>
      <c r="E307" s="182"/>
      <c r="F307" s="182"/>
      <c r="G307" s="182"/>
      <c r="H307" s="182"/>
      <c r="I307" s="182"/>
      <c r="J307" s="182"/>
      <c r="K307" s="182"/>
      <c r="L307" s="182"/>
      <c r="M307" s="182"/>
      <c r="N307" s="127"/>
      <c r="O307" s="182"/>
      <c r="P307" s="182"/>
      <c r="Q307" s="182"/>
      <c r="R307" s="255">
        <f ca="1">R298+R299+R306</f>
        <v>3973.75</v>
      </c>
      <c r="S307" s="85">
        <f ca="1">ROUND(SUM(S294:W296)*(1+K297)+R298*$P$12+R306-R307,2)</f>
        <v>-0.01</v>
      </c>
      <c r="T307" s="53"/>
      <c r="U307" s="80"/>
      <c r="V307" s="86"/>
      <c r="W307" s="86"/>
    </row>
    <row r="308" spans="1:30" x14ac:dyDescent="0.2">
      <c r="C308" s="2" t="s">
        <v>470</v>
      </c>
      <c r="P308" s="124" t="s">
        <v>403</v>
      </c>
      <c r="R308" s="256"/>
      <c r="S308" s="85"/>
      <c r="T308" s="85"/>
      <c r="U308" s="86"/>
      <c r="V308" s="86"/>
      <c r="W308" s="86"/>
    </row>
    <row r="309" spans="1:30" x14ac:dyDescent="0.2">
      <c r="C309" s="2" t="s">
        <v>1043</v>
      </c>
      <c r="K309" s="18"/>
      <c r="N309" s="60"/>
      <c r="P309" s="191">
        <f ca="1">IF(SUM(P310:P312),SUM(P310:P312),"")</f>
        <v>18.99993708713432</v>
      </c>
      <c r="R309" s="249">
        <f ca="1">SUM(R310:R312)</f>
        <v>755.01</v>
      </c>
      <c r="S309" s="85">
        <f ca="1">ROUND(R309-S$293*(1+$K$297)*(1+$S$305),2)</f>
        <v>0</v>
      </c>
      <c r="T309" s="85"/>
      <c r="U309" s="86"/>
      <c r="V309" s="86"/>
      <c r="W309" s="86"/>
    </row>
    <row r="310" spans="1:30" x14ac:dyDescent="0.2">
      <c r="C310" s="2" t="s">
        <v>1044</v>
      </c>
      <c r="K310" s="18"/>
      <c r="N310" s="60"/>
      <c r="P310" s="192">
        <f t="shared" ref="P310:P316" ca="1" si="193">IF(R$307,R310/R$307%,"")</f>
        <v>0</v>
      </c>
      <c r="R310" s="249">
        <f ca="1">S310</f>
        <v>0</v>
      </c>
      <c r="S310" s="102">
        <f ca="1">ROUND(S294*(1+$K$297)*(1+$S$305),2)</f>
        <v>0</v>
      </c>
      <c r="T310" s="102">
        <f t="shared" ref="T310:W310" ca="1" si="194">ROUND(T294*(1+$K$297)*(1+$S$305),2)</f>
        <v>0</v>
      </c>
      <c r="U310" s="103">
        <f t="shared" ca="1" si="194"/>
        <v>0</v>
      </c>
      <c r="V310" s="103">
        <f t="shared" ca="1" si="194"/>
        <v>0</v>
      </c>
      <c r="W310" s="103">
        <f t="shared" ca="1" si="194"/>
        <v>0</v>
      </c>
    </row>
    <row r="311" spans="1:30" x14ac:dyDescent="0.2">
      <c r="C311" s="2" t="s">
        <v>1102</v>
      </c>
      <c r="K311" s="18"/>
      <c r="N311" s="60"/>
      <c r="P311" s="192">
        <f t="shared" ca="1" si="193"/>
        <v>0</v>
      </c>
      <c r="R311" s="249">
        <f t="shared" ref="R311:R312" ca="1" si="195">S311</f>
        <v>0</v>
      </c>
      <c r="S311" s="102">
        <f t="shared" ref="S311:W311" ca="1" si="196">ROUND(S295*(1+$K$297)*(1+$S$305),2)</f>
        <v>0</v>
      </c>
      <c r="T311" s="102">
        <f t="shared" ca="1" si="196"/>
        <v>0</v>
      </c>
      <c r="U311" s="103">
        <f t="shared" ca="1" si="196"/>
        <v>0</v>
      </c>
      <c r="V311" s="103">
        <f t="shared" ca="1" si="196"/>
        <v>0</v>
      </c>
      <c r="W311" s="103">
        <f t="shared" ca="1" si="196"/>
        <v>0</v>
      </c>
    </row>
    <row r="312" spans="1:30" x14ac:dyDescent="0.2">
      <c r="C312" s="2" t="s">
        <v>1103</v>
      </c>
      <c r="K312" s="18"/>
      <c r="N312" s="60"/>
      <c r="P312" s="192">
        <f t="shared" ca="1" si="193"/>
        <v>18.99993708713432</v>
      </c>
      <c r="R312" s="249">
        <f t="shared" ca="1" si="195"/>
        <v>755.01</v>
      </c>
      <c r="S312" s="102">
        <f t="shared" ref="S312:W312" ca="1" si="197">ROUND(S296*(1+$K$297)*(1+$S$305),2)</f>
        <v>755.01</v>
      </c>
      <c r="T312" s="102">
        <f t="shared" ca="1" si="197"/>
        <v>2384.25</v>
      </c>
      <c r="U312" s="103">
        <f t="shared" ca="1" si="197"/>
        <v>158.94</v>
      </c>
      <c r="V312" s="103">
        <f t="shared" ca="1" si="197"/>
        <v>317.89999999999998</v>
      </c>
      <c r="W312" s="103">
        <f t="shared" ca="1" si="197"/>
        <v>357.63</v>
      </c>
    </row>
    <row r="313" spans="1:30" x14ac:dyDescent="0.2">
      <c r="C313" s="2" t="s">
        <v>1041</v>
      </c>
      <c r="K313" s="18"/>
      <c r="N313" s="60"/>
      <c r="P313" s="192">
        <f t="shared" ca="1" si="193"/>
        <v>60.000000000000007</v>
      </c>
      <c r="R313" s="249">
        <f ca="1">ROUND(T293*(1+$K$101)*(1+$S$305),2)</f>
        <v>2384.25</v>
      </c>
      <c r="S313" s="85">
        <f ca="1">ROUND(R313-SUM(T310:T312),2)</f>
        <v>0</v>
      </c>
      <c r="T313" s="85"/>
      <c r="U313" s="86"/>
      <c r="V313" s="86"/>
      <c r="W313" s="86"/>
    </row>
    <row r="314" spans="1:30" x14ac:dyDescent="0.2">
      <c r="C314" s="2" t="s">
        <v>1042</v>
      </c>
      <c r="K314" s="18"/>
      <c r="N314" s="60"/>
      <c r="P314" s="192">
        <f t="shared" ca="1" si="193"/>
        <v>3.9997483485372762</v>
      </c>
      <c r="R314" s="249">
        <f ca="1">ROUND(U293*(1+$K$101)*(1+$S$305),2)</f>
        <v>158.94</v>
      </c>
      <c r="S314" s="85">
        <f ca="1">ROUND(R314-SUM(U310:U312),2)</f>
        <v>0</v>
      </c>
      <c r="T314" s="85"/>
      <c r="U314" s="86"/>
      <c r="V314" s="86"/>
      <c r="W314" s="86"/>
    </row>
    <row r="315" spans="1:30" x14ac:dyDescent="0.2">
      <c r="C315" s="2" t="s">
        <v>1100</v>
      </c>
      <c r="K315" s="18"/>
      <c r="P315" s="192">
        <f t="shared" ca="1" si="193"/>
        <v>8</v>
      </c>
      <c r="R315" s="249">
        <f ca="1">ROUND(V293*(1+$K$101)*(1+$S$305),2)</f>
        <v>317.89999999999998</v>
      </c>
      <c r="S315" s="85">
        <f ca="1">ROUND(R315-SUM(V310:V312),2)</f>
        <v>0</v>
      </c>
      <c r="T315" s="85"/>
      <c r="U315" s="86"/>
      <c r="V315" s="86"/>
      <c r="W315" s="86"/>
    </row>
    <row r="316" spans="1:30" x14ac:dyDescent="0.2">
      <c r="C316" s="60" t="s">
        <v>1339</v>
      </c>
      <c r="K316" s="18"/>
      <c r="N316" s="60"/>
      <c r="P316" s="192">
        <f t="shared" ca="1" si="193"/>
        <v>9.0003145643283968</v>
      </c>
      <c r="R316" s="249">
        <f ca="1">R307-(R309+R313+R314+R315)</f>
        <v>357.64999999999964</v>
      </c>
      <c r="S316" s="85">
        <f ca="1">ROUND(R316-SUM(W310:W312)-R306,2)</f>
        <v>0.02</v>
      </c>
      <c r="T316" s="85"/>
      <c r="U316" s="86"/>
      <c r="V316" s="86"/>
      <c r="W316" s="86"/>
    </row>
    <row r="317" spans="1:30" x14ac:dyDescent="0.2">
      <c r="K317" s="18"/>
      <c r="P317" s="193">
        <f ca="1">IF(ISNUMBER(P309+P313+P314+P315+P316),P309+P313+P314+P315+P316,"")</f>
        <v>100</v>
      </c>
      <c r="R317" s="60"/>
      <c r="T317" s="60"/>
    </row>
    <row r="318" spans="1:30" s="60" customFormat="1" x14ac:dyDescent="0.2">
      <c r="A318" s="126"/>
      <c r="K318" s="18"/>
      <c r="P318" s="360"/>
      <c r="U318" s="79"/>
      <c r="V318" s="79"/>
      <c r="W318" s="79"/>
      <c r="X318" s="89"/>
      <c r="Y318" s="89"/>
      <c r="Z318" s="89"/>
      <c r="AA318" s="89"/>
      <c r="AB318" s="89"/>
      <c r="AC318" s="137"/>
      <c r="AD318" s="89"/>
    </row>
    <row r="319" spans="1:30" s="60" customFormat="1" ht="15" x14ac:dyDescent="0.2">
      <c r="A319" s="126"/>
      <c r="K319" s="18"/>
      <c r="P319" s="360"/>
      <c r="Q319" s="573" t="s">
        <v>1380</v>
      </c>
      <c r="R319" s="573"/>
      <c r="U319" s="79"/>
      <c r="V319" s="79"/>
      <c r="W319" s="79"/>
      <c r="X319" s="89"/>
      <c r="Y319" s="89"/>
      <c r="Z319" s="89"/>
      <c r="AA319" s="89"/>
      <c r="AB319" s="89"/>
      <c r="AC319" s="137"/>
      <c r="AD319" s="89"/>
    </row>
    <row r="320" spans="1:30" s="60" customFormat="1" ht="12.75" customHeight="1" x14ac:dyDescent="0.2">
      <c r="A320" s="126"/>
      <c r="K320" s="18"/>
      <c r="P320" s="577" t="str">
        <f>IF('Расчет стоимости'!$P$13&lt;35,"         ","Заместитель генерального директора по инвестиционной деятельности 
ПАО ''МРСК Северо-Запада''")</f>
        <v>Заместитель генерального директора по инвестиционной деятельности 
ПАО ''МРСК Северо-Запада''</v>
      </c>
      <c r="Q320" s="577"/>
      <c r="R320" s="577"/>
      <c r="U320" s="79"/>
      <c r="V320" s="79"/>
      <c r="W320" s="79"/>
      <c r="X320" s="89"/>
      <c r="Y320" s="89"/>
      <c r="Z320" s="89"/>
      <c r="AA320" s="89"/>
      <c r="AB320" s="89"/>
      <c r="AC320" s="137"/>
      <c r="AD320" s="89"/>
    </row>
    <row r="321" spans="1:38" s="60" customFormat="1" ht="42" customHeight="1" x14ac:dyDescent="0.2">
      <c r="A321" s="126"/>
      <c r="K321" s="18"/>
      <c r="P321" s="577"/>
      <c r="Q321" s="577"/>
      <c r="R321" s="577"/>
      <c r="U321" s="79"/>
      <c r="V321" s="79"/>
      <c r="W321" s="79"/>
      <c r="X321" s="89"/>
      <c r="Y321" s="89"/>
      <c r="Z321" s="89"/>
      <c r="AA321" s="89"/>
      <c r="AB321" s="89"/>
      <c r="AC321" s="137"/>
      <c r="AD321" s="89"/>
    </row>
    <row r="322" spans="1:38" s="60" customFormat="1" ht="15" x14ac:dyDescent="0.2">
      <c r="A322" s="126"/>
      <c r="C322" s="60" t="str">
        <f>B6</f>
        <v>Наименование</v>
      </c>
      <c r="D322" s="60" t="str">
        <f>IF(C6="","",C6)</f>
        <v>Техническое перевооружение ПС 110/6,6/6,3 кВ «Воргашорская»: замена ОД и КЗ 110 кВ на элегазовые выключатели 110 кВ (2 шт.) г. Воркута Республика Коми</v>
      </c>
      <c r="K322" s="18"/>
      <c r="P322" s="360"/>
      <c r="Q322" s="574" t="str">
        <f>IF('Расчет стоимости'!$P$13&lt;35,"________________________________ /___________/","________________________________ /B.B. Нестеренко/")</f>
        <v>________________________________ /B.B. Нестеренко/</v>
      </c>
      <c r="R322" s="575"/>
      <c r="U322" s="79"/>
      <c r="V322" s="79"/>
      <c r="W322" s="79"/>
      <c r="X322" s="89"/>
      <c r="Y322" s="89"/>
      <c r="Z322" s="89"/>
      <c r="AA322" s="89"/>
      <c r="AB322" s="89"/>
      <c r="AC322" s="137"/>
      <c r="AD322" s="89"/>
    </row>
    <row r="323" spans="1:38" s="60" customFormat="1" ht="15" x14ac:dyDescent="0.2">
      <c r="A323" s="126"/>
      <c r="K323" s="18"/>
      <c r="P323" s="360"/>
      <c r="Q323" s="576">
        <f>C383</f>
        <v>43110</v>
      </c>
      <c r="R323" s="576"/>
      <c r="U323" s="79"/>
      <c r="V323" s="79"/>
      <c r="W323" s="79"/>
      <c r="X323" s="89"/>
      <c r="Y323" s="89"/>
      <c r="Z323" s="89"/>
      <c r="AA323" s="89"/>
      <c r="AB323" s="89"/>
      <c r="AC323" s="137"/>
      <c r="AD323" s="89"/>
    </row>
    <row r="324" spans="1:38" s="60" customFormat="1" x14ac:dyDescent="0.2">
      <c r="A324" s="126"/>
      <c r="K324" s="18"/>
      <c r="U324" s="79"/>
      <c r="V324" s="79"/>
      <c r="W324" s="79"/>
      <c r="X324" s="89"/>
      <c r="Y324" s="89"/>
      <c r="Z324" s="89"/>
      <c r="AA324" s="89"/>
      <c r="AB324" s="89"/>
      <c r="AC324" s="137"/>
      <c r="AD324" s="89"/>
    </row>
    <row r="325" spans="1:38" ht="14.25" x14ac:dyDescent="0.2">
      <c r="C325" s="60" t="str">
        <f>IF(C5="","",C5)</f>
        <v>I_005-51-1-03.13-0007</v>
      </c>
      <c r="I325" s="579" t="s">
        <v>507</v>
      </c>
      <c r="J325" s="579"/>
      <c r="K325" s="579"/>
      <c r="L325" s="579"/>
      <c r="M325" s="579"/>
      <c r="N325" s="579"/>
      <c r="O325" s="579"/>
      <c r="P325" s="579"/>
      <c r="Q325" s="579"/>
      <c r="R325" s="579"/>
      <c r="AI325" s="60"/>
      <c r="AJ325" s="60"/>
      <c r="AK325" s="60"/>
      <c r="AL325" s="60"/>
    </row>
    <row r="326" spans="1:38" ht="15" x14ac:dyDescent="0.2">
      <c r="C326" s="597" t="s">
        <v>1101</v>
      </c>
      <c r="D326" s="34"/>
      <c r="E326" s="611" t="s">
        <v>299</v>
      </c>
      <c r="F326" s="611"/>
      <c r="G326" s="611"/>
      <c r="H326" s="611"/>
      <c r="I326" s="611" t="s">
        <v>1062</v>
      </c>
      <c r="J326" s="611"/>
      <c r="K326" s="611"/>
      <c r="L326" s="611"/>
      <c r="M326" s="611"/>
      <c r="N326" s="611"/>
      <c r="O326" s="121"/>
      <c r="P326" s="611" t="s">
        <v>506</v>
      </c>
      <c r="Q326" s="611"/>
      <c r="R326" s="611"/>
      <c r="AI326" s="60"/>
      <c r="AJ326" s="60"/>
      <c r="AK326" s="60"/>
      <c r="AL326" s="60"/>
    </row>
    <row r="327" spans="1:38" x14ac:dyDescent="0.2">
      <c r="C327" s="598"/>
      <c r="D327" s="35"/>
      <c r="E327" s="601" t="s">
        <v>82</v>
      </c>
      <c r="F327" s="602"/>
      <c r="G327" s="603" t="str">
        <f>IF($P$11=0,"",$P$11)</f>
        <v>III кв. 2017 г.</v>
      </c>
      <c r="H327" s="604"/>
      <c r="I327" s="601" t="s">
        <v>504</v>
      </c>
      <c r="J327" s="602"/>
      <c r="K327" s="113"/>
      <c r="L327" s="113"/>
      <c r="M327" s="113"/>
      <c r="N327" s="113"/>
      <c r="O327" s="113"/>
      <c r="P327" s="113" t="s">
        <v>504</v>
      </c>
      <c r="Q327" s="113" t="s">
        <v>315</v>
      </c>
      <c r="R327" s="113" t="s">
        <v>505</v>
      </c>
      <c r="AI327" s="60"/>
      <c r="AJ327" s="60"/>
      <c r="AK327" s="60"/>
      <c r="AL327" s="60"/>
    </row>
    <row r="328" spans="1:38" x14ac:dyDescent="0.2">
      <c r="C328" s="28" t="s">
        <v>246</v>
      </c>
      <c r="D328" s="28"/>
      <c r="E328" s="1"/>
      <c r="F328" s="1"/>
      <c r="G328" s="1"/>
      <c r="H328" s="1"/>
      <c r="I328" s="600">
        <f ca="1">I347+I348+I349</f>
        <v>4053.23</v>
      </c>
      <c r="J328" s="600"/>
      <c r="K328" s="1"/>
      <c r="L328" s="1"/>
      <c r="M328" s="1"/>
      <c r="N328" s="1"/>
      <c r="O328" s="1"/>
      <c r="P328" s="104">
        <f ca="1">P347+P348+P349</f>
        <v>20124.23</v>
      </c>
      <c r="Q328" s="1"/>
      <c r="R328" s="258">
        <f ca="1">R347+R348+R349</f>
        <v>23746.6</v>
      </c>
      <c r="S328" s="241">
        <f ca="1">R112+R189+R307-I328</f>
        <v>-79.480000000000018</v>
      </c>
      <c r="T328" s="85"/>
      <c r="AI328" s="60"/>
      <c r="AJ328" s="60"/>
      <c r="AK328" s="60"/>
      <c r="AL328" s="60"/>
    </row>
    <row r="329" spans="1:38" x14ac:dyDescent="0.2">
      <c r="C329" s="56" t="s">
        <v>1296</v>
      </c>
      <c r="D329" s="1"/>
      <c r="E329" s="195">
        <f>IFERROR(VLOOKUP($E$327,Таблица_индексов,Регионы!$N$3,FALSE),1)</f>
        <v>3.53</v>
      </c>
      <c r="F329" s="1"/>
      <c r="G329" s="191">
        <f>IFERROR(VLOOKUP($G$327,Таблица_индексов,Регионы!$N$3,FALSE),1)</f>
        <v>1</v>
      </c>
      <c r="H329" s="1"/>
      <c r="I329" s="583">
        <f ca="1">ROUND(R124*M329,2)</f>
        <v>0</v>
      </c>
      <c r="J329" s="584"/>
      <c r="K329" s="1"/>
      <c r="L329" s="1"/>
      <c r="M329" s="230">
        <f ca="1">IFERROR(OFFSET(Регионы!$U$5,MATCH($C$11,Регионы!$B$6:$B$91,0),0,1,1)*Регионы!$U$4,1)</f>
        <v>1.02</v>
      </c>
      <c r="N329" s="1"/>
      <c r="O329" s="1"/>
      <c r="P329" s="62">
        <f ca="1">ROUND(I329*E329,2)</f>
        <v>0</v>
      </c>
      <c r="Q329" s="17">
        <v>0.18</v>
      </c>
      <c r="R329" s="249">
        <f ca="1">ROUND(P329*(1+Q329),2)</f>
        <v>0</v>
      </c>
      <c r="S329" s="60"/>
      <c r="T329" s="85"/>
      <c r="AI329" s="60"/>
      <c r="AJ329" s="60"/>
      <c r="AK329" s="60"/>
      <c r="AL329" s="60"/>
    </row>
    <row r="330" spans="1:38" x14ac:dyDescent="0.2">
      <c r="C330" s="56" t="s">
        <v>1297</v>
      </c>
      <c r="D330" s="1"/>
      <c r="E330" s="195">
        <f>IFERROR(VLOOKUP($E$327,Таблица_индексов,Регионы!$N$3,FALSE),1)</f>
        <v>3.53</v>
      </c>
      <c r="F330" s="1"/>
      <c r="G330" s="191">
        <f>IFERROR(VLOOKUP($G$327,Таблица_индексов,Регионы!$N$3,FALSE),1)</f>
        <v>1</v>
      </c>
      <c r="H330" s="1"/>
      <c r="I330" s="583">
        <f ca="1">ROUND(R198*M330,2)</f>
        <v>0</v>
      </c>
      <c r="J330" s="584"/>
      <c r="K330" s="1"/>
      <c r="L330" s="1"/>
      <c r="M330" s="230">
        <f ca="1">IFERROR(OFFSET(Регионы!$V$5,MATCH($C$11,Регионы!$B$6:$B$91,0),0,1,1)*Регионы!$V$4,1)</f>
        <v>1.02</v>
      </c>
      <c r="N330" s="1"/>
      <c r="O330" s="1"/>
      <c r="P330" s="62">
        <f t="shared" ref="P330:P346" ca="1" si="198">ROUND(I330*E330,2)</f>
        <v>0</v>
      </c>
      <c r="Q330" s="17">
        <v>0.18</v>
      </c>
      <c r="R330" s="249">
        <f t="shared" ref="R330:R346" ca="1" si="199">ROUND(P330*(1+Q330),2)</f>
        <v>0</v>
      </c>
      <c r="S330" s="60"/>
      <c r="AI330" s="60"/>
      <c r="AJ330" s="60"/>
      <c r="AK330" s="60"/>
      <c r="AL330" s="60"/>
    </row>
    <row r="331" spans="1:38" x14ac:dyDescent="0.2">
      <c r="C331" s="56" t="s">
        <v>1298</v>
      </c>
      <c r="D331" s="1"/>
      <c r="E331" s="195">
        <f>IFERROR(VLOOKUP($E$327,Таблица_индексов,Регионы!$N$3,FALSE),1)</f>
        <v>3.53</v>
      </c>
      <c r="F331" s="1"/>
      <c r="G331" s="191">
        <f>IFERROR(VLOOKUP($G$327,Таблица_индексов,Регионы!$N$3,FALSE),1)</f>
        <v>1</v>
      </c>
      <c r="H331" s="1"/>
      <c r="I331" s="583">
        <f ca="1">ROUND((R315+R125)*M331,2)</f>
        <v>324.26</v>
      </c>
      <c r="J331" s="584"/>
      <c r="K331" s="1"/>
      <c r="L331" s="1"/>
      <c r="M331" s="230">
        <f ca="1">IFERROR(OFFSET(Регионы!$T$5,MATCH($C$11,Регионы!$B$6:$B$91,0),0,1,1)*Регионы!$T$4,1)</f>
        <v>1.02</v>
      </c>
      <c r="N331" s="1"/>
      <c r="O331" s="1"/>
      <c r="P331" s="62">
        <f t="shared" ca="1" si="198"/>
        <v>1144.6400000000001</v>
      </c>
      <c r="Q331" s="17">
        <v>0.18</v>
      </c>
      <c r="R331" s="249">
        <f t="shared" ca="1" si="199"/>
        <v>1350.68</v>
      </c>
      <c r="S331" s="60"/>
      <c r="AI331" s="60"/>
      <c r="AJ331" s="60"/>
      <c r="AK331" s="60"/>
      <c r="AL331" s="60"/>
    </row>
    <row r="332" spans="1:38" x14ac:dyDescent="0.2">
      <c r="C332" s="1" t="s">
        <v>1048</v>
      </c>
      <c r="D332" s="1"/>
      <c r="E332" s="195">
        <f>IFERROR(VLOOKUP($C$11,Регионы!$B$6:$HF$91,Регионы!$BE$3,FALSE),1)</f>
        <v>4.21</v>
      </c>
      <c r="F332" s="58"/>
      <c r="G332" s="191">
        <f>IF(ISBLANK($P$11),1,IFERROR(VLOOKUP($C$11,Регионы!$B$6:$HF$91,Регионы!$BD$3,FALSE),1))</f>
        <v>1</v>
      </c>
      <c r="H332" s="1"/>
      <c r="I332" s="583">
        <f ca="1">ROUND((R115+R116)*M332,2)</f>
        <v>0</v>
      </c>
      <c r="J332" s="584"/>
      <c r="K332" s="1"/>
      <c r="L332" s="1"/>
      <c r="M332" s="230">
        <f ca="1">IFERROR(OFFSET(Регионы!$U$5,MATCH($C$11,Регионы!$B$6:$B$91,0),0,1,1)*Регионы!$U$4,1)</f>
        <v>1.02</v>
      </c>
      <c r="N332" s="1"/>
      <c r="O332" s="1"/>
      <c r="P332" s="62">
        <f t="shared" ca="1" si="198"/>
        <v>0</v>
      </c>
      <c r="Q332" s="17">
        <v>0.18</v>
      </c>
      <c r="R332" s="249">
        <f t="shared" ca="1" si="199"/>
        <v>0</v>
      </c>
      <c r="S332" s="60"/>
      <c r="AI332" s="60"/>
      <c r="AJ332" s="60"/>
      <c r="AK332" s="60"/>
      <c r="AL332" s="60"/>
    </row>
    <row r="333" spans="1:38" x14ac:dyDescent="0.2">
      <c r="C333" s="1" t="s">
        <v>1049</v>
      </c>
      <c r="D333" s="1"/>
      <c r="E333" s="195">
        <f>IFERROR(VLOOKUP($C$11,Регионы!$B$6:$HF$91,Регионы!$BE$3,FALSE),1)</f>
        <v>4.21</v>
      </c>
      <c r="F333" s="58"/>
      <c r="G333" s="191">
        <f>IF(ISBLANK($P$11),1,IFERROR(VLOOKUP($C$11,Регионы!$B$6:$HF$91,Регионы!$BD$3,FALSE),1))</f>
        <v>1</v>
      </c>
      <c r="H333" s="1"/>
      <c r="I333" s="583">
        <f ca="1">ROUND((R117+R118)*M333,2)</f>
        <v>0</v>
      </c>
      <c r="J333" s="584"/>
      <c r="K333" s="1"/>
      <c r="L333" s="1"/>
      <c r="M333" s="230">
        <f ca="1">IFERROR(OFFSET(Регионы!$U$5,MATCH($C$11,Регионы!$B$6:$B$91,0),0,1,1)*Регионы!$U$4,1)</f>
        <v>1.02</v>
      </c>
      <c r="N333" s="1"/>
      <c r="O333" s="1"/>
      <c r="P333" s="62">
        <f ca="1">ROUND(I333*E333,2)</f>
        <v>0</v>
      </c>
      <c r="Q333" s="17">
        <v>0.18</v>
      </c>
      <c r="R333" s="249">
        <f ca="1">ROUND(P333*(1+Q333),2)</f>
        <v>0</v>
      </c>
      <c r="S333" s="60"/>
      <c r="AI333" s="60"/>
      <c r="AJ333" s="60"/>
      <c r="AK333" s="60"/>
      <c r="AL333" s="60"/>
    </row>
    <row r="334" spans="1:38" s="60" customFormat="1" x14ac:dyDescent="0.2">
      <c r="A334" s="126"/>
      <c r="C334" s="56" t="s">
        <v>498</v>
      </c>
      <c r="D334" s="56"/>
      <c r="E334" s="195">
        <f>IFERROR(VLOOKUP($C$11,Регионы!$B$6:$HF$91,Регионы!$DQ$3,FALSE),1)</f>
        <v>4.1500000000000004</v>
      </c>
      <c r="F334" s="56"/>
      <c r="G334" s="191">
        <f>IF(ISBLANK($P$11),1,IFERROR(VLOOKUP($C$11,Регионы!$B$6:$HF$91,Регионы!$DP$3,FALSE),1))</f>
        <v>1</v>
      </c>
      <c r="H334" s="56"/>
      <c r="I334" s="583">
        <f ca="1">ROUND((R192+R193)*M334,2)</f>
        <v>0</v>
      </c>
      <c r="J334" s="584"/>
      <c r="K334" s="56"/>
      <c r="L334" s="56"/>
      <c r="M334" s="230">
        <f ca="1">IFERROR(OFFSET(Регионы!$V$5,MATCH($C$11,Регионы!$B$6:$B$91,0),0,1,1)*Регионы!$V$4,1)</f>
        <v>1.02</v>
      </c>
      <c r="N334" s="56"/>
      <c r="O334" s="56"/>
      <c r="P334" s="62">
        <f t="shared" ca="1" si="198"/>
        <v>0</v>
      </c>
      <c r="Q334" s="17">
        <v>0.18</v>
      </c>
      <c r="R334" s="249">
        <f t="shared" ca="1" si="199"/>
        <v>0</v>
      </c>
      <c r="U334" s="79"/>
      <c r="V334" s="79"/>
      <c r="W334" s="79"/>
      <c r="X334" s="89"/>
      <c r="Y334" s="89"/>
      <c r="Z334" s="89"/>
      <c r="AA334" s="89"/>
      <c r="AB334" s="89"/>
      <c r="AC334" s="137"/>
      <c r="AD334" s="89"/>
    </row>
    <row r="335" spans="1:38" s="60" customFormat="1" x14ac:dyDescent="0.2">
      <c r="A335" s="126"/>
      <c r="C335" s="56" t="s">
        <v>1063</v>
      </c>
      <c r="D335" s="56"/>
      <c r="E335" s="195">
        <f>IFERROR(VLOOKUP($C$11,Регионы!$B$6:$HF$91,Регионы!$DQ$3,FALSE),1)*$AD$153+IFERROR(VLOOKUP($C$11,Регионы!$B$6:$HF$91,Регионы!$EW$3,FALSE),1)*(1-$AD$153)</f>
        <v>4.1500000000000004</v>
      </c>
      <c r="F335" s="56"/>
      <c r="G335" s="191">
        <f>IF(ISBLANK($P$11),1,IFERROR(VLOOKUP($C$11,Регионы!$B$6:$HF$91,Регионы!$DP$3,FALSE),1)*$AD$153+IFERROR(VLOOKUP($C$11,Регионы!$B$6:$HF$91,Регионы!$EV$3,FALSE),1)*(1-$AD$153))</f>
        <v>1</v>
      </c>
      <c r="H335" s="56"/>
      <c r="I335" s="583">
        <f ca="1">ROUND((R194+R195)*M335,2)</f>
        <v>0</v>
      </c>
      <c r="J335" s="584"/>
      <c r="K335" s="56"/>
      <c r="L335" s="56"/>
      <c r="M335" s="230">
        <f ca="1">IFERROR(OFFSET(Регионы!$V$5,MATCH($C$11,Регионы!$B$6:$B$91,0),0,1,1)*Регионы!$V$4,1)</f>
        <v>1.02</v>
      </c>
      <c r="N335" s="56"/>
      <c r="O335" s="56"/>
      <c r="P335" s="62">
        <f t="shared" ca="1" si="198"/>
        <v>0</v>
      </c>
      <c r="Q335" s="17">
        <v>0.18</v>
      </c>
      <c r="R335" s="249">
        <f t="shared" ca="1" si="199"/>
        <v>0</v>
      </c>
      <c r="U335" s="79"/>
      <c r="V335" s="79"/>
      <c r="W335" s="79"/>
      <c r="X335" s="89"/>
      <c r="Y335" s="89"/>
      <c r="Z335" s="89"/>
      <c r="AA335" s="89"/>
      <c r="AB335" s="89"/>
      <c r="AC335" s="137"/>
      <c r="AD335" s="89"/>
    </row>
    <row r="336" spans="1:38" x14ac:dyDescent="0.2">
      <c r="C336" s="1" t="s">
        <v>1047</v>
      </c>
      <c r="D336" s="1"/>
      <c r="E336" s="191">
        <f>IFERROR(VLOOKUP($C$11,Регионы!$B$6:$HF$91,Регионы!$Y$3,FALSE),1)</f>
        <v>6.35</v>
      </c>
      <c r="F336" s="58"/>
      <c r="G336" s="191">
        <f>IF(ISBLANK($P$11),1,IFERROR(VLOOKUP($C$11,Регионы!$B$6:$HF$91,Регионы!$X$3,FALSE),1))</f>
        <v>1</v>
      </c>
      <c r="H336" s="1"/>
      <c r="I336" s="583">
        <f ca="1">ROUND(R119*M336,2)</f>
        <v>0</v>
      </c>
      <c r="J336" s="584"/>
      <c r="K336" s="1"/>
      <c r="L336" s="1"/>
      <c r="M336" s="230">
        <f ca="1">IFERROR(OFFSET(Регионы!$U$5,MATCH($C$11,Регионы!$B$6:$B$91,0),0,1,1)*Регионы!$U$4,1)</f>
        <v>1.02</v>
      </c>
      <c r="N336" s="1"/>
      <c r="O336" s="1"/>
      <c r="P336" s="62">
        <f ca="1">ROUND(I336*E336,2)</f>
        <v>0</v>
      </c>
      <c r="Q336" s="17">
        <v>0.18</v>
      </c>
      <c r="R336" s="249">
        <f ca="1">ROUND(P336*(1+Q336),2)</f>
        <v>0</v>
      </c>
      <c r="S336" s="60"/>
      <c r="AI336" s="60"/>
      <c r="AJ336" s="60"/>
      <c r="AK336" s="60"/>
      <c r="AL336" s="60"/>
    </row>
    <row r="337" spans="3:38" x14ac:dyDescent="0.2">
      <c r="C337" s="1" t="s">
        <v>1064</v>
      </c>
      <c r="D337" s="1"/>
      <c r="E337" s="191">
        <f>IFERROR(VLOOKUP($C$11,Регионы!$B$6:$HF$91,Регионы!$Y$3,FALSE),1)</f>
        <v>6.35</v>
      </c>
      <c r="F337" s="58"/>
      <c r="G337" s="191">
        <f>IF(ISBLANK($P$11),1,IFERROR(VLOOKUP($C$11,Регионы!$B$6:$HF$91,Регионы!$X$3,FALSE),1))</f>
        <v>1</v>
      </c>
      <c r="H337" s="1"/>
      <c r="I337" s="583">
        <f ca="1">ROUND(R309*M337,2)</f>
        <v>770.11</v>
      </c>
      <c r="J337" s="584"/>
      <c r="K337" s="1"/>
      <c r="L337" s="1"/>
      <c r="M337" s="230">
        <f ca="1">IFERROR(OFFSET(Регионы!$T$5,MATCH($C$11,Регионы!$B$6:$B$91,0),0,1,1)*Регионы!$T$4,1)</f>
        <v>1.02</v>
      </c>
      <c r="N337" s="1"/>
      <c r="O337" s="1"/>
      <c r="P337" s="62">
        <f t="shared" ref="P337" ca="1" si="200">ROUND(I337*E337,2)</f>
        <v>4890.2</v>
      </c>
      <c r="Q337" s="17">
        <v>0.18</v>
      </c>
      <c r="R337" s="249">
        <f t="shared" ref="R337" ca="1" si="201">ROUND(P337*(1+Q337),2)</f>
        <v>5770.44</v>
      </c>
      <c r="S337" s="60"/>
      <c r="AI337" s="60"/>
      <c r="AJ337" s="60"/>
      <c r="AK337" s="60"/>
      <c r="AL337" s="60"/>
    </row>
    <row r="338" spans="3:38" x14ac:dyDescent="0.2">
      <c r="C338" s="1" t="s">
        <v>1050</v>
      </c>
      <c r="D338" s="1"/>
      <c r="E338" s="191">
        <f>IFERROR(VLOOKUP($E$327,Таблица_индексов,Регионы!$E$3,FALSE),1)</f>
        <v>3.82</v>
      </c>
      <c r="F338" s="58"/>
      <c r="G338" s="191">
        <f>IFERROR(VLOOKUP($G$327,Таблица_индексов,Регионы!$E$3,FALSE),1)</f>
        <v>1</v>
      </c>
      <c r="H338" s="1"/>
      <c r="I338" s="583">
        <f ca="1">ROUND(R120*M338,2)</f>
        <v>0</v>
      </c>
      <c r="J338" s="584"/>
      <c r="K338" s="1"/>
      <c r="L338" s="1"/>
      <c r="M338" s="230">
        <f ca="1">IFERROR(OFFSET(Регионы!$U$5,MATCH($C$11,Регионы!$B$6:$B$91,0),0,1,1)*Регионы!$U$4,1)</f>
        <v>1.02</v>
      </c>
      <c r="N338" s="1"/>
      <c r="O338" s="1"/>
      <c r="P338" s="62">
        <f t="shared" ca="1" si="198"/>
        <v>0</v>
      </c>
      <c r="Q338" s="17">
        <v>0.18</v>
      </c>
      <c r="R338" s="249">
        <f t="shared" ca="1" si="199"/>
        <v>0</v>
      </c>
      <c r="S338" s="60"/>
      <c r="AI338" s="60"/>
      <c r="AJ338" s="60"/>
      <c r="AK338" s="60"/>
      <c r="AL338" s="60"/>
    </row>
    <row r="339" spans="3:38" x14ac:dyDescent="0.2">
      <c r="C339" s="1" t="s">
        <v>1051</v>
      </c>
      <c r="D339" s="1"/>
      <c r="E339" s="191">
        <f>IFERROR(VLOOKUP($E$327,Таблица_индексов,Регионы!$E$3,FALSE),1)</f>
        <v>3.82</v>
      </c>
      <c r="F339" s="58"/>
      <c r="G339" s="191">
        <f>IFERROR(VLOOKUP($G$327,Таблица_индексов,Регионы!$E$3,FALSE),1)</f>
        <v>1</v>
      </c>
      <c r="H339" s="1"/>
      <c r="I339" s="583">
        <f ca="1">ROUND(R196*M339,2)</f>
        <v>0</v>
      </c>
      <c r="J339" s="584"/>
      <c r="K339" s="1"/>
      <c r="L339" s="1"/>
      <c r="M339" s="230">
        <f ca="1">IFERROR(OFFSET(Регионы!$V$5,MATCH($C$11,Регионы!$B$6:$B$91,0),0,1,1)*Регионы!$V$4,1)</f>
        <v>1.02</v>
      </c>
      <c r="N339" s="1"/>
      <c r="O339" s="1"/>
      <c r="P339" s="62">
        <f t="shared" ca="1" si="198"/>
        <v>0</v>
      </c>
      <c r="Q339" s="17">
        <v>0.18</v>
      </c>
      <c r="R339" s="249">
        <f t="shared" ca="1" si="199"/>
        <v>0</v>
      </c>
      <c r="S339" s="60"/>
      <c r="AI339" s="60"/>
      <c r="AJ339" s="60"/>
      <c r="AK339" s="60"/>
      <c r="AL339" s="60"/>
    </row>
    <row r="340" spans="3:38" x14ac:dyDescent="0.2">
      <c r="C340" s="1" t="s">
        <v>1052</v>
      </c>
      <c r="D340" s="1"/>
      <c r="E340" s="191">
        <f>IFERROR(VLOOKUP($E$327,Таблица_индексов,Регионы!$E$3,FALSE),1)</f>
        <v>3.82</v>
      </c>
      <c r="F340" s="58"/>
      <c r="G340" s="191">
        <f>IFERROR(VLOOKUP($G$327,Таблица_индексов,Регионы!$E$3,FALSE),1)</f>
        <v>1</v>
      </c>
      <c r="H340" s="1"/>
      <c r="I340" s="583">
        <f ca="1">ROUND((R313+R121)*M340,2)</f>
        <v>2431.94</v>
      </c>
      <c r="J340" s="584"/>
      <c r="K340" s="1"/>
      <c r="L340" s="1"/>
      <c r="M340" s="230">
        <f ca="1">IFERROR(OFFSET(Регионы!$T$5,MATCH($C$11,Регионы!$B$6:$B$91,0),0,1,1)*Регионы!$T$4,1)</f>
        <v>1.02</v>
      </c>
      <c r="N340" s="1"/>
      <c r="O340" s="1"/>
      <c r="P340" s="62">
        <f t="shared" ca="1" si="198"/>
        <v>9290.01</v>
      </c>
      <c r="Q340" s="17">
        <v>0.18</v>
      </c>
      <c r="R340" s="249">
        <f t="shared" ca="1" si="199"/>
        <v>10962.21</v>
      </c>
      <c r="S340" s="60"/>
      <c r="AI340" s="60"/>
      <c r="AJ340" s="60"/>
      <c r="AK340" s="60"/>
      <c r="AL340" s="60"/>
    </row>
    <row r="341" spans="3:38" x14ac:dyDescent="0.2">
      <c r="C341" s="1" t="s">
        <v>1053</v>
      </c>
      <c r="D341" s="1"/>
      <c r="E341" s="191">
        <f>IFERROR(VLOOKUP($C$11,Регионы!$B$6:$HF$91,Регионы!$GC$3,FALSE),1)</f>
        <v>12.66</v>
      </c>
      <c r="F341" s="58"/>
      <c r="G341" s="191">
        <f>IF(ISBLANK($P$11),1,IFERROR(VLOOKUP($C$11,Регионы!$B$6:$HF$91,Регионы!$GB$3,FALSE),1))</f>
        <v>1</v>
      </c>
      <c r="H341" s="1"/>
      <c r="I341" s="583">
        <f ca="1">ROUND(R122*M341,2)</f>
        <v>0</v>
      </c>
      <c r="J341" s="584"/>
      <c r="K341" s="1"/>
      <c r="L341" s="1"/>
      <c r="M341" s="230">
        <f ca="1">IFERROR(OFFSET(Регионы!$U$5,MATCH($C$11,Регионы!$B$6:$B$91,0),0,1,1)*Регионы!$U$4,1)</f>
        <v>1.02</v>
      </c>
      <c r="N341" s="1"/>
      <c r="O341" s="1"/>
      <c r="P341" s="62">
        <f t="shared" ca="1" si="198"/>
        <v>0</v>
      </c>
      <c r="Q341" s="17">
        <v>0.18</v>
      </c>
      <c r="R341" s="249">
        <f t="shared" ca="1" si="199"/>
        <v>0</v>
      </c>
      <c r="S341" s="60"/>
      <c r="AI341" s="60"/>
      <c r="AJ341" s="60"/>
      <c r="AK341" s="60"/>
      <c r="AL341" s="60"/>
    </row>
    <row r="342" spans="3:38" x14ac:dyDescent="0.2">
      <c r="C342" s="1" t="s">
        <v>1054</v>
      </c>
      <c r="D342" s="1"/>
      <c r="E342" s="191">
        <f>IFERROR(VLOOKUP($C$11,Регионы!$B$6:$HF$91,Регионы!$GC$3,FALSE),1)</f>
        <v>12.66</v>
      </c>
      <c r="F342" s="58"/>
      <c r="G342" s="191">
        <f>IF(ISBLANK($P$11),1,IFERROR(VLOOKUP($C$11,Регионы!$B$6:$HF$91,Регионы!$GB$3,FALSE),1))</f>
        <v>1</v>
      </c>
      <c r="H342" s="1"/>
      <c r="I342" s="583">
        <f ca="1">ROUND(R197*M342,2)</f>
        <v>0</v>
      </c>
      <c r="J342" s="584"/>
      <c r="K342" s="1"/>
      <c r="L342" s="1"/>
      <c r="M342" s="230">
        <f ca="1">IFERROR(OFFSET(Регионы!$V$5,MATCH($C$11,Регионы!$B$6:$B$91,0),0,1,1)*Регионы!$V$4,1)</f>
        <v>1.02</v>
      </c>
      <c r="N342" s="1"/>
      <c r="O342" s="1"/>
      <c r="P342" s="62">
        <f t="shared" ca="1" si="198"/>
        <v>0</v>
      </c>
      <c r="Q342" s="17">
        <v>0.18</v>
      </c>
      <c r="R342" s="249">
        <f t="shared" ca="1" si="199"/>
        <v>0</v>
      </c>
      <c r="S342" s="60"/>
      <c r="AI342" s="60"/>
      <c r="AJ342" s="60"/>
      <c r="AK342" s="60"/>
      <c r="AL342" s="60"/>
    </row>
    <row r="343" spans="3:38" x14ac:dyDescent="0.2">
      <c r="C343" s="1" t="s">
        <v>1055</v>
      </c>
      <c r="D343" s="1"/>
      <c r="E343" s="191">
        <f>IFERROR(VLOOKUP($C$11,Регионы!$B$6:$HF$91,Регионы!$GC$3,FALSE),1)</f>
        <v>12.66</v>
      </c>
      <c r="F343" s="58"/>
      <c r="G343" s="191">
        <f>IF(ISBLANK($P$11),1,IFERROR(VLOOKUP($C$11,Регионы!$B$6:$HF$91,Регионы!$GB$3,FALSE),1))</f>
        <v>1</v>
      </c>
      <c r="H343" s="1"/>
      <c r="I343" s="583">
        <f ca="1">ROUND((R314+R123)*M343,2)</f>
        <v>162.12</v>
      </c>
      <c r="J343" s="584"/>
      <c r="K343" s="1"/>
      <c r="L343" s="1"/>
      <c r="M343" s="230">
        <f ca="1">IFERROR(OFFSET(Регионы!$T$5,MATCH($C$11,Регионы!$B$6:$B$91,0),0,1,1)*Регионы!$T$4,1)</f>
        <v>1.02</v>
      </c>
      <c r="N343" s="1"/>
      <c r="O343" s="1"/>
      <c r="P343" s="62">
        <f t="shared" ca="1" si="198"/>
        <v>2052.44</v>
      </c>
      <c r="Q343" s="17">
        <v>0.18</v>
      </c>
      <c r="R343" s="249">
        <f t="shared" ca="1" si="199"/>
        <v>2421.88</v>
      </c>
      <c r="S343" s="85"/>
      <c r="AI343" s="60"/>
      <c r="AJ343" s="60"/>
      <c r="AK343" s="60"/>
      <c r="AL343" s="60"/>
    </row>
    <row r="344" spans="3:38" x14ac:dyDescent="0.2">
      <c r="C344" s="56" t="s">
        <v>1056</v>
      </c>
      <c r="D344" s="1"/>
      <c r="E344" s="195">
        <f>IFERROR(VLOOKUP($E$327,Таблица_индексов,Регионы!$I$3,FALSE),1)</f>
        <v>7.53</v>
      </c>
      <c r="F344" s="1"/>
      <c r="G344" s="191">
        <f>IFERROR(VLOOKUP($G$327,Таблица_индексов,Регионы!$I$3,FALSE),1)</f>
        <v>1</v>
      </c>
      <c r="H344" s="1"/>
      <c r="I344" s="583">
        <f ca="1">ROUND(R126*M344,2)</f>
        <v>0</v>
      </c>
      <c r="J344" s="584"/>
      <c r="K344" s="1"/>
      <c r="L344" s="1"/>
      <c r="M344" s="230">
        <f ca="1">IFERROR(OFFSET(Регионы!$U$5,MATCH($C$11,Регионы!$B$6:$B$91,0),0,1,1)*Регионы!$U$4,1)</f>
        <v>1.02</v>
      </c>
      <c r="N344" s="1"/>
      <c r="O344" s="1"/>
      <c r="P344" s="62">
        <f t="shared" ca="1" si="198"/>
        <v>0</v>
      </c>
      <c r="Q344" s="17">
        <v>0.18</v>
      </c>
      <c r="R344" s="249">
        <f t="shared" ca="1" si="199"/>
        <v>0</v>
      </c>
      <c r="S344" s="85"/>
      <c r="T344" s="85"/>
      <c r="AI344" s="60"/>
      <c r="AJ344" s="60"/>
      <c r="AK344" s="60"/>
      <c r="AL344" s="60"/>
    </row>
    <row r="345" spans="3:38" x14ac:dyDescent="0.2">
      <c r="C345" s="56" t="s">
        <v>1057</v>
      </c>
      <c r="D345" s="1"/>
      <c r="E345" s="195">
        <f>IFERROR(VLOOKUP($E$327,Таблица_индексов,Регионы!$I$3,FALSE),1)</f>
        <v>7.53</v>
      </c>
      <c r="F345" s="1"/>
      <c r="G345" s="191">
        <f>IFERROR(VLOOKUP($G$327,Таблица_индексов,Регионы!$I$3,FALSE),1)</f>
        <v>1</v>
      </c>
      <c r="H345" s="1"/>
      <c r="I345" s="583">
        <f ca="1">ROUND(R199*M345,2)</f>
        <v>0</v>
      </c>
      <c r="J345" s="584"/>
      <c r="K345" s="1"/>
      <c r="L345" s="1"/>
      <c r="M345" s="230">
        <f ca="1">IFERROR(OFFSET(Регионы!$V$5,MATCH($C$11,Регионы!$B$6:$B$91,0),0,1,1)*Регионы!$V$4,1)</f>
        <v>1.02</v>
      </c>
      <c r="N345" s="1"/>
      <c r="O345" s="1"/>
      <c r="P345" s="62">
        <f t="shared" ca="1" si="198"/>
        <v>0</v>
      </c>
      <c r="Q345" s="17">
        <v>0.18</v>
      </c>
      <c r="R345" s="249">
        <f t="shared" ca="1" si="199"/>
        <v>0</v>
      </c>
      <c r="S345" s="85"/>
      <c r="T345" s="85"/>
      <c r="AI345" s="60"/>
      <c r="AJ345" s="60"/>
      <c r="AK345" s="60"/>
      <c r="AL345" s="60"/>
    </row>
    <row r="346" spans="3:38" x14ac:dyDescent="0.2">
      <c r="C346" s="56" t="s">
        <v>1058</v>
      </c>
      <c r="D346" s="1"/>
      <c r="E346" s="195">
        <f>IFERROR(VLOOKUP($E$327,Таблица_индексов,Регионы!$I$3,FALSE),1)</f>
        <v>7.53</v>
      </c>
      <c r="F346" s="1"/>
      <c r="G346" s="191">
        <f>IFERROR(VLOOKUP($G$327,Таблица_индексов,Регионы!$I$3,FALSE),1)</f>
        <v>1</v>
      </c>
      <c r="H346" s="1"/>
      <c r="I346" s="583">
        <f ca="1">ROUND((R316+R127)*M346,2)</f>
        <v>364.8</v>
      </c>
      <c r="J346" s="584"/>
      <c r="K346" s="1"/>
      <c r="L346" s="1"/>
      <c r="M346" s="230">
        <f ca="1">IFERROR(OFFSET(Регионы!$T$5,MATCH($C$11,Регионы!$B$6:$B$91,0),0,1,1)*Регионы!$T$4,1)</f>
        <v>1.02</v>
      </c>
      <c r="N346" s="1"/>
      <c r="O346" s="1"/>
      <c r="P346" s="62">
        <f t="shared" ca="1" si="198"/>
        <v>2746.94</v>
      </c>
      <c r="Q346" s="17">
        <v>0.18</v>
      </c>
      <c r="R346" s="249">
        <f t="shared" ca="1" si="199"/>
        <v>3241.39</v>
      </c>
      <c r="S346" s="60"/>
      <c r="AI346" s="60"/>
      <c r="AJ346" s="60"/>
      <c r="AK346" s="60"/>
      <c r="AL346" s="60"/>
    </row>
    <row r="347" spans="3:38" x14ac:dyDescent="0.2">
      <c r="C347" s="1" t="s">
        <v>1059</v>
      </c>
      <c r="D347" s="1"/>
      <c r="E347" s="1"/>
      <c r="F347" s="1"/>
      <c r="G347" s="1"/>
      <c r="H347" s="1"/>
      <c r="I347" s="581">
        <f ca="1">I329+I332+I333+I338+I341+I344</f>
        <v>0</v>
      </c>
      <c r="J347" s="582"/>
      <c r="K347" s="1"/>
      <c r="L347" s="1"/>
      <c r="M347" s="1"/>
      <c r="N347" s="1"/>
      <c r="O347" s="1"/>
      <c r="P347" s="62">
        <f ca="1">P329+P332+P333+P338+P341+P344</f>
        <v>0</v>
      </c>
      <c r="Q347" s="17"/>
      <c r="R347" s="249">
        <f ca="1">R329+R332+R333+R338+R341+R344</f>
        <v>0</v>
      </c>
      <c r="S347" s="60"/>
      <c r="AI347" s="60"/>
      <c r="AJ347" s="60"/>
      <c r="AK347" s="60"/>
      <c r="AL347" s="60"/>
    </row>
    <row r="348" spans="3:38" x14ac:dyDescent="0.2">
      <c r="C348" s="1" t="s">
        <v>1060</v>
      </c>
      <c r="D348" s="1"/>
      <c r="E348" s="1"/>
      <c r="F348" s="1"/>
      <c r="G348" s="1"/>
      <c r="H348" s="1"/>
      <c r="I348" s="581">
        <f ca="1">I330+I334+I335+I339+I342+I345</f>
        <v>0</v>
      </c>
      <c r="J348" s="582"/>
      <c r="K348" s="1"/>
      <c r="L348" s="1"/>
      <c r="M348" s="1"/>
      <c r="N348" s="1"/>
      <c r="O348" s="1"/>
      <c r="P348" s="62">
        <f ca="1">P330+P334+P335+P339+P342+P345</f>
        <v>0</v>
      </c>
      <c r="Q348" s="17"/>
      <c r="R348" s="249">
        <f ca="1">R330+R334+R335+R339+R342+R345</f>
        <v>0</v>
      </c>
      <c r="S348" s="60"/>
      <c r="AI348" s="60"/>
      <c r="AJ348" s="60"/>
      <c r="AK348" s="60"/>
      <c r="AL348" s="60"/>
    </row>
    <row r="349" spans="3:38" x14ac:dyDescent="0.2">
      <c r="C349" s="1" t="s">
        <v>1061</v>
      </c>
      <c r="D349" s="1"/>
      <c r="E349" s="1"/>
      <c r="F349" s="1"/>
      <c r="G349" s="1"/>
      <c r="H349" s="1"/>
      <c r="I349" s="581">
        <f ca="1">I331+I336+I337+I340+I343+I346</f>
        <v>4053.23</v>
      </c>
      <c r="J349" s="582"/>
      <c r="K349" s="1"/>
      <c r="L349" s="1"/>
      <c r="M349" s="1"/>
      <c r="N349" s="1"/>
      <c r="O349" s="1"/>
      <c r="P349" s="62">
        <f ca="1">P331+P336+P337+P340+P343+P346</f>
        <v>20124.23</v>
      </c>
      <c r="Q349" s="17"/>
      <c r="R349" s="249">
        <f ca="1">R331+R336+R337+R340+R343+R346</f>
        <v>23746.6</v>
      </c>
      <c r="S349" s="85"/>
      <c r="AI349" s="60"/>
      <c r="AJ349" s="60"/>
      <c r="AK349" s="60"/>
      <c r="AL349" s="60"/>
    </row>
    <row r="350" spans="3:38" x14ac:dyDescent="0.2">
      <c r="S350" s="60"/>
      <c r="AI350" s="60"/>
      <c r="AJ350" s="60"/>
      <c r="AK350" s="60"/>
      <c r="AL350" s="60"/>
    </row>
    <row r="351" spans="3:38" ht="14.25" x14ac:dyDescent="0.2">
      <c r="I351" s="579" t="s">
        <v>507</v>
      </c>
      <c r="J351" s="579"/>
      <c r="K351" s="579"/>
      <c r="L351" s="579"/>
      <c r="M351" s="579"/>
      <c r="N351" s="579"/>
      <c r="O351" s="579"/>
      <c r="P351" s="579"/>
      <c r="Q351" s="579"/>
      <c r="R351" s="579"/>
      <c r="AI351" s="60"/>
      <c r="AJ351" s="60"/>
      <c r="AK351" s="60"/>
      <c r="AL351" s="60"/>
    </row>
    <row r="352" spans="3:38" ht="30.75" customHeight="1" x14ac:dyDescent="0.2">
      <c r="C352" s="597" t="s">
        <v>1101</v>
      </c>
      <c r="D352" s="36"/>
      <c r="E352" s="614" t="str">
        <f>IF(ISBLANK($P$11),"в базовых ценах (период расчета текущих цен не задан)","в текущих ценах "&amp;$P$11)</f>
        <v>в текущих ценах III кв. 2017 г.</v>
      </c>
      <c r="F352" s="615"/>
      <c r="G352" s="615"/>
      <c r="H352" s="616"/>
      <c r="I352" s="617" t="str">
        <f>IF(Снижение!$E$9=0,"(год окончания реализации инвестиционного проекта не задан)","В прогнозных ценах года окончания строительства ("&amp;Снижение!$E$9&amp;" г.)")</f>
        <v>В прогнозных ценах года окончания строительства (2025 г.)</v>
      </c>
      <c r="J352" s="618"/>
      <c r="K352" s="618"/>
      <c r="L352" s="618"/>
      <c r="M352" s="618"/>
      <c r="N352" s="619"/>
      <c r="O352" s="120"/>
      <c r="P352" s="580" t="str">
        <f>IF(Снижение!$E$9=0,IF(ISBLANK($P$11),"в базовых ценах (период расчета текущих цен не задан)","в текущих ценах "&amp;$P$11),"то же, с учетом Методики снижения ""-30""")</f>
        <v>то же, с учетом Методики снижения "-30"</v>
      </c>
      <c r="Q352" s="580"/>
      <c r="R352" s="580"/>
      <c r="AI352" s="60"/>
      <c r="AJ352" s="60"/>
      <c r="AK352" s="60"/>
      <c r="AL352" s="60"/>
    </row>
    <row r="353" spans="3:38" x14ac:dyDescent="0.2">
      <c r="C353" s="598"/>
      <c r="D353" s="37"/>
      <c r="E353" s="601" t="s">
        <v>504</v>
      </c>
      <c r="F353" s="602"/>
      <c r="G353" s="601" t="s">
        <v>505</v>
      </c>
      <c r="H353" s="602"/>
      <c r="I353" s="601" t="s">
        <v>504</v>
      </c>
      <c r="J353" s="602"/>
      <c r="K353" s="113" t="s">
        <v>315</v>
      </c>
      <c r="L353" s="113"/>
      <c r="M353" s="113"/>
      <c r="N353" s="113" t="s">
        <v>505</v>
      </c>
      <c r="O353" s="113"/>
      <c r="P353" s="113" t="s">
        <v>504</v>
      </c>
      <c r="Q353" s="113" t="s">
        <v>315</v>
      </c>
      <c r="R353" s="113" t="s">
        <v>505</v>
      </c>
      <c r="T353" s="213">
        <f ca="1">IF(I328-(R109+R187+R305),(R109+R187+R305)/(I328-(R109+R187+R305)))</f>
        <v>2.208980666375834E-2</v>
      </c>
      <c r="AI353" s="60"/>
      <c r="AJ353" s="60"/>
      <c r="AK353" s="60"/>
      <c r="AL353" s="60"/>
    </row>
    <row r="354" spans="3:38" x14ac:dyDescent="0.2">
      <c r="C354" s="28" t="s">
        <v>246</v>
      </c>
      <c r="D354" s="38"/>
      <c r="E354" s="613">
        <f ca="1">E373+E374+E375</f>
        <v>4053.23</v>
      </c>
      <c r="F354" s="613"/>
      <c r="G354" s="613">
        <f ca="1">G373+G374+G375</f>
        <v>4782.8100000000004</v>
      </c>
      <c r="H354" s="613"/>
      <c r="I354" s="613">
        <f ca="1">I373+I374+I375</f>
        <v>39675.189999999995</v>
      </c>
      <c r="J354" s="613"/>
      <c r="K354" s="1"/>
      <c r="L354" s="1"/>
      <c r="M354" s="1"/>
      <c r="N354" s="104">
        <f ca="1">N373+N374+N375</f>
        <v>46816.720000000008</v>
      </c>
      <c r="O354" s="104"/>
      <c r="P354" s="104">
        <f ca="1">P373+P374+P375</f>
        <v>27772.639999999996</v>
      </c>
      <c r="Q354" s="19"/>
      <c r="R354" s="258">
        <f ca="1">R373+R374+R375</f>
        <v>32771.72</v>
      </c>
      <c r="T354" s="104">
        <f ca="1">SUM(T355:T372)</f>
        <v>27172.406787475673</v>
      </c>
      <c r="U354" s="86"/>
      <c r="AF354" s="85"/>
      <c r="AI354" s="60"/>
      <c r="AJ354" s="60"/>
      <c r="AK354" s="60"/>
      <c r="AL354" s="60"/>
    </row>
    <row r="355" spans="3:38" x14ac:dyDescent="0.2">
      <c r="C355" s="1" t="str">
        <f>C329</f>
        <v>Проектно-изыскательские работы ВЛ</v>
      </c>
      <c r="D355" s="39"/>
      <c r="E355" s="581">
        <f ca="1">ROUND(I329*G329,2)</f>
        <v>0</v>
      </c>
      <c r="F355" s="582"/>
      <c r="G355" s="581">
        <f t="shared" ref="G355:G364" ca="1" si="202">ROUND(E355*(1+Q329),2)</f>
        <v>0</v>
      </c>
      <c r="H355" s="582">
        <f t="shared" ref="H355" ca="1" si="203">ROUND(F355*(1+G355),2)</f>
        <v>0</v>
      </c>
      <c r="I355" s="581">
        <f ca="1">SUM(Снижение!G18:W18)</f>
        <v>0</v>
      </c>
      <c r="J355" s="582"/>
      <c r="K355" s="17">
        <v>0.18</v>
      </c>
      <c r="L355" s="1"/>
      <c r="M355" s="1"/>
      <c r="N355" s="62">
        <f ca="1">ROUND(I355*(1+K355),2)</f>
        <v>0</v>
      </c>
      <c r="O355" s="62"/>
      <c r="P355" s="62">
        <f ca="1">IF(Снижение!$E$9,Снижение!X18,E355)</f>
        <v>0</v>
      </c>
      <c r="Q355" s="17">
        <v>0.18</v>
      </c>
      <c r="R355" s="249">
        <f ca="1">ROUND(P355*(1+Q355),2)</f>
        <v>0</v>
      </c>
      <c r="T355" s="62">
        <f ca="1">IF(Снижение!$E$9,Снижение!X18,IF($P$11=0,I329,E355))/(1+$T$353)</f>
        <v>0</v>
      </c>
      <c r="AF355" s="85"/>
      <c r="AI355" s="60"/>
      <c r="AJ355" s="60"/>
      <c r="AK355" s="60"/>
      <c r="AL355" s="60"/>
    </row>
    <row r="356" spans="3:38" x14ac:dyDescent="0.2">
      <c r="C356" s="1" t="str">
        <f>C330</f>
        <v>Проектно-изыскательские работы КЛ</v>
      </c>
      <c r="D356" s="39"/>
      <c r="E356" s="581">
        <f ca="1">ROUND(I330*G330,2)</f>
        <v>0</v>
      </c>
      <c r="F356" s="582"/>
      <c r="G356" s="581">
        <f t="shared" ca="1" si="202"/>
        <v>0</v>
      </c>
      <c r="H356" s="582">
        <f t="shared" ref="H356" ca="1" si="204">ROUND(F356*(1+G356),2)</f>
        <v>0</v>
      </c>
      <c r="I356" s="581">
        <f ca="1">SUM(Снижение!G19:W19)</f>
        <v>0</v>
      </c>
      <c r="J356" s="582"/>
      <c r="K356" s="17">
        <v>0.18</v>
      </c>
      <c r="L356" s="1"/>
      <c r="M356" s="1"/>
      <c r="N356" s="62">
        <f t="shared" ref="N356:N372" ca="1" si="205">ROUND(I356*(1+K356),2)</f>
        <v>0</v>
      </c>
      <c r="O356" s="62"/>
      <c r="P356" s="62">
        <f ca="1">IF(Снижение!$E$9,Снижение!X19,E356)</f>
        <v>0</v>
      </c>
      <c r="Q356" s="17">
        <v>0.18</v>
      </c>
      <c r="R356" s="249">
        <f t="shared" ref="R356:R372" ca="1" si="206">ROUND(P356*(1+Q356),2)</f>
        <v>0</v>
      </c>
      <c r="T356" s="62">
        <f ca="1">IF(Снижение!$E$9,Снижение!X19,IF($P$11=0,I330,E356))/(1+$T$353)</f>
        <v>0</v>
      </c>
      <c r="AF356" s="85"/>
      <c r="AI356" s="60"/>
      <c r="AJ356" s="60"/>
      <c r="AK356" s="60"/>
      <c r="AL356" s="60"/>
    </row>
    <row r="357" spans="3:38" x14ac:dyDescent="0.2">
      <c r="C357" s="1" t="str">
        <f>C331</f>
        <v>Проектно-изыскательские работы ПС</v>
      </c>
      <c r="D357" s="39"/>
      <c r="E357" s="581">
        <f ca="1">ROUND(I331*G331,2)</f>
        <v>324.26</v>
      </c>
      <c r="F357" s="582"/>
      <c r="G357" s="581">
        <f t="shared" ca="1" si="202"/>
        <v>382.63</v>
      </c>
      <c r="H357" s="582">
        <f t="shared" ref="H357:H372" ca="1" si="207">ROUND(F357*(1+G357),2)</f>
        <v>0</v>
      </c>
      <c r="I357" s="581">
        <f ca="1">SUM(Снижение!G20:W20)</f>
        <v>2256.67</v>
      </c>
      <c r="J357" s="582"/>
      <c r="K357" s="17">
        <v>0.18</v>
      </c>
      <c r="L357" s="1"/>
      <c r="M357" s="1"/>
      <c r="N357" s="62">
        <f t="shared" ca="1" si="205"/>
        <v>2662.87</v>
      </c>
      <c r="O357" s="62"/>
      <c r="P357" s="62">
        <f ca="1">IF(Снижение!$E$9,Снижение!X20,E357)</f>
        <v>1579.67</v>
      </c>
      <c r="Q357" s="17">
        <v>0.18</v>
      </c>
      <c r="R357" s="249">
        <f t="shared" ca="1" si="206"/>
        <v>1864.01</v>
      </c>
      <c r="T357" s="62">
        <f ca="1">IF(Снижение!$E$9,Снижение!X20,IF($P$11=0,I331,E357))/(1+$T$353)</f>
        <v>1545.5295510247386</v>
      </c>
      <c r="AI357" s="60"/>
      <c r="AJ357" s="60"/>
      <c r="AK357" s="60"/>
      <c r="AL357" s="60"/>
    </row>
    <row r="358" spans="3:38" x14ac:dyDescent="0.2">
      <c r="C358" s="1" t="str">
        <f>C332</f>
        <v>СМР по ВЛ до 20 кВ</v>
      </c>
      <c r="D358" s="39"/>
      <c r="E358" s="581">
        <f ca="1">ROUND(I332*G332,2)</f>
        <v>0</v>
      </c>
      <c r="F358" s="582"/>
      <c r="G358" s="581">
        <f t="shared" ca="1" si="202"/>
        <v>0</v>
      </c>
      <c r="H358" s="582">
        <f t="shared" ca="1" si="207"/>
        <v>0</v>
      </c>
      <c r="I358" s="581">
        <f ca="1">SUM(Снижение!G21:W21)</f>
        <v>0</v>
      </c>
      <c r="J358" s="582"/>
      <c r="K358" s="17">
        <v>0.18</v>
      </c>
      <c r="L358" s="1"/>
      <c r="M358" s="1"/>
      <c r="N358" s="62">
        <f t="shared" ca="1" si="205"/>
        <v>0</v>
      </c>
      <c r="O358" s="62"/>
      <c r="P358" s="62">
        <f ca="1">IF(Снижение!$E$9,Снижение!X21,E358)</f>
        <v>0</v>
      </c>
      <c r="Q358" s="17">
        <v>0.18</v>
      </c>
      <c r="R358" s="249">
        <f t="shared" ca="1" si="206"/>
        <v>0</v>
      </c>
      <c r="T358" s="62">
        <f ca="1">IF(Снижение!$E$9,Снижение!X21,IF($P$11=0,I332,E358))/(1+$T$353)</f>
        <v>0</v>
      </c>
      <c r="AI358" s="60"/>
      <c r="AJ358" s="60"/>
      <c r="AK358" s="60"/>
      <c r="AL358" s="60"/>
    </row>
    <row r="359" spans="3:38" x14ac:dyDescent="0.2">
      <c r="C359" s="1" t="str">
        <f>C333</f>
        <v>СМР по ВЛ 35 кВ и выше</v>
      </c>
      <c r="D359" s="39"/>
      <c r="E359" s="581">
        <f ca="1">ROUND(I333*G333,2)</f>
        <v>0</v>
      </c>
      <c r="F359" s="582"/>
      <c r="G359" s="581">
        <f t="shared" ca="1" si="202"/>
        <v>0</v>
      </c>
      <c r="H359" s="582">
        <f ca="1">ROUND(F359*(1+G359),2)</f>
        <v>0</v>
      </c>
      <c r="I359" s="581">
        <f ca="1">SUM(Снижение!G22:W22)</f>
        <v>0</v>
      </c>
      <c r="J359" s="582"/>
      <c r="K359" s="17">
        <v>0.18</v>
      </c>
      <c r="L359" s="1"/>
      <c r="M359" s="1"/>
      <c r="N359" s="62">
        <f ca="1">ROUND(I359*(1+K359),2)</f>
        <v>0</v>
      </c>
      <c r="O359" s="62"/>
      <c r="P359" s="62">
        <f ca="1">IF(Снижение!$E$9,Снижение!X22,E359)</f>
        <v>0</v>
      </c>
      <c r="Q359" s="17">
        <v>0.18</v>
      </c>
      <c r="R359" s="249">
        <f ca="1">ROUND(P359*(1+Q359),2)</f>
        <v>0</v>
      </c>
      <c r="T359" s="62">
        <f ca="1">IF(Снижение!$E$9,Снижение!X22,IF($P$11=0,I333,E359))/(1+$T$353)</f>
        <v>0</v>
      </c>
      <c r="AI359" s="60"/>
      <c r="AJ359" s="60"/>
      <c r="AK359" s="60"/>
      <c r="AL359" s="60"/>
    </row>
    <row r="360" spans="3:38" x14ac:dyDescent="0.2">
      <c r="C360" s="1" t="str">
        <f t="shared" ref="C360" si="208">C334</f>
        <v>СМР по КЛ до 10 кВ</v>
      </c>
      <c r="D360" s="39"/>
      <c r="E360" s="581">
        <f t="shared" ref="E360" ca="1" si="209">ROUND(I334*G334,2)</f>
        <v>0</v>
      </c>
      <c r="F360" s="582"/>
      <c r="G360" s="581">
        <f t="shared" ca="1" si="202"/>
        <v>0</v>
      </c>
      <c r="H360" s="582">
        <f t="shared" ca="1" si="207"/>
        <v>0</v>
      </c>
      <c r="I360" s="581">
        <f ca="1">SUM(Снижение!G24:W24)</f>
        <v>0</v>
      </c>
      <c r="J360" s="582"/>
      <c r="K360" s="17">
        <v>0.18</v>
      </c>
      <c r="L360" s="1"/>
      <c r="M360" s="1"/>
      <c r="N360" s="62">
        <f t="shared" ca="1" si="205"/>
        <v>0</v>
      </c>
      <c r="O360" s="62"/>
      <c r="P360" s="62">
        <f ca="1">IF(Снижение!$E$9,Снижение!X24,E360)</f>
        <v>0</v>
      </c>
      <c r="Q360" s="17">
        <v>0.18</v>
      </c>
      <c r="R360" s="249">
        <f t="shared" ca="1" si="206"/>
        <v>0</v>
      </c>
      <c r="T360" s="62">
        <f ca="1">IF(Снижение!$E$9,Снижение!X24,IF($P$11=0,I334,E360))/(1+$T$353)</f>
        <v>0</v>
      </c>
      <c r="AI360" s="60"/>
      <c r="AJ360" s="60"/>
      <c r="AK360" s="60"/>
      <c r="AL360" s="60"/>
    </row>
    <row r="361" spans="3:38" x14ac:dyDescent="0.2">
      <c r="C361" s="1" t="str">
        <f>C335</f>
        <v>СМР по КЛ 20 кВ и выше</v>
      </c>
      <c r="D361" s="39"/>
      <c r="E361" s="581">
        <f t="shared" ref="E361" ca="1" si="210">ROUND(I335*G335,2)</f>
        <v>0</v>
      </c>
      <c r="F361" s="582"/>
      <c r="G361" s="581">
        <f t="shared" ca="1" si="202"/>
        <v>0</v>
      </c>
      <c r="H361" s="582">
        <f t="shared" ca="1" si="207"/>
        <v>0</v>
      </c>
      <c r="I361" s="581">
        <f ca="1">SUM(Снижение!G25:W25)</f>
        <v>0</v>
      </c>
      <c r="J361" s="582"/>
      <c r="K361" s="17">
        <v>0.18</v>
      </c>
      <c r="L361" s="1"/>
      <c r="M361" s="1"/>
      <c r="N361" s="62">
        <f t="shared" ca="1" si="205"/>
        <v>0</v>
      </c>
      <c r="O361" s="62"/>
      <c r="P361" s="62">
        <f ca="1">IF(Снижение!$E$9,Снижение!X25,E361)</f>
        <v>0</v>
      </c>
      <c r="Q361" s="17">
        <v>0.18</v>
      </c>
      <c r="R361" s="249">
        <f t="shared" ca="1" si="206"/>
        <v>0</v>
      </c>
      <c r="T361" s="62">
        <f ca="1">IF(Снижение!$E$9,Снижение!X25,IF($P$11=0,I335,E361))/(1+$T$353)</f>
        <v>0</v>
      </c>
      <c r="AI361" s="60"/>
      <c r="AJ361" s="60"/>
      <c r="AK361" s="60"/>
      <c r="AL361" s="60"/>
    </row>
    <row r="362" spans="3:38" x14ac:dyDescent="0.2">
      <c r="C362" s="1" t="str">
        <f>C336</f>
        <v>СМР по ТП до 10 кВ</v>
      </c>
      <c r="D362" s="39"/>
      <c r="E362" s="581">
        <f ca="1">ROUND(I336*G336,2)</f>
        <v>0</v>
      </c>
      <c r="F362" s="582"/>
      <c r="G362" s="581">
        <f t="shared" ca="1" si="202"/>
        <v>0</v>
      </c>
      <c r="H362" s="582">
        <f ca="1">ROUND(F362*(1+G362),2)</f>
        <v>0</v>
      </c>
      <c r="I362" s="581">
        <f ca="1">SUM(Снижение!G23:W23)</f>
        <v>0</v>
      </c>
      <c r="J362" s="582"/>
      <c r="K362" s="17">
        <v>0.18</v>
      </c>
      <c r="L362" s="1"/>
      <c r="M362" s="1"/>
      <c r="N362" s="62">
        <f ca="1">ROUND(I362*(1+K362),2)</f>
        <v>0</v>
      </c>
      <c r="O362" s="62"/>
      <c r="P362" s="62">
        <f ca="1">IF(Снижение!$E$9,Снижение!X23,E362)</f>
        <v>0</v>
      </c>
      <c r="Q362" s="17">
        <v>0.18</v>
      </c>
      <c r="R362" s="249">
        <f ca="1">ROUND(P362*(1+Q362),2)</f>
        <v>0</v>
      </c>
      <c r="T362" s="62">
        <f ca="1">IF(Снижение!$E$9,Снижение!X23,IF($P$11=0,I336,E362))/(1+$T$353)</f>
        <v>0</v>
      </c>
      <c r="AI362" s="60"/>
      <c r="AJ362" s="60"/>
      <c r="AK362" s="60"/>
      <c r="AL362" s="60"/>
    </row>
    <row r="363" spans="3:38" x14ac:dyDescent="0.2">
      <c r="C363" s="1" t="str">
        <f t="shared" ref="C363:C372" si="211">C337</f>
        <v>СМР по ПС</v>
      </c>
      <c r="D363" s="39"/>
      <c r="E363" s="581">
        <f t="shared" ref="E363" ca="1" si="212">ROUND(I337*G337,2)</f>
        <v>770.11</v>
      </c>
      <c r="F363" s="582"/>
      <c r="G363" s="581">
        <f t="shared" ca="1" si="202"/>
        <v>908.73</v>
      </c>
      <c r="H363" s="582">
        <f t="shared" ref="H363" ca="1" si="213">ROUND(F363*(1+G363),2)</f>
        <v>0</v>
      </c>
      <c r="I363" s="581">
        <f ca="1">SUM(Снижение!G26:W26)</f>
        <v>9641.1</v>
      </c>
      <c r="J363" s="582"/>
      <c r="K363" s="17">
        <v>0.18</v>
      </c>
      <c r="L363" s="1"/>
      <c r="M363" s="1"/>
      <c r="N363" s="62">
        <f t="shared" ca="1" si="205"/>
        <v>11376.5</v>
      </c>
      <c r="O363" s="62"/>
      <c r="P363" s="62">
        <f ca="1">IF(Снижение!$E$9,Снижение!X26,E363)</f>
        <v>6748.77</v>
      </c>
      <c r="Q363" s="17">
        <v>0.18</v>
      </c>
      <c r="R363" s="249">
        <f t="shared" ca="1" si="206"/>
        <v>7963.55</v>
      </c>
      <c r="T363" s="62">
        <f ca="1">IF(Снижение!$E$9,Снижение!X26,IF($P$11=0,I337,E363))/(1+$T$353)</f>
        <v>6602.9129299595643</v>
      </c>
      <c r="AI363" s="60"/>
      <c r="AJ363" s="60"/>
      <c r="AK363" s="60"/>
      <c r="AL363" s="60"/>
    </row>
    <row r="364" spans="3:38" x14ac:dyDescent="0.2">
      <c r="C364" s="1" t="str">
        <f t="shared" si="211"/>
        <v>Оборудование ВЛ</v>
      </c>
      <c r="D364" s="39"/>
      <c r="E364" s="581">
        <f t="shared" ref="E364" ca="1" si="214">ROUND(I338*G338,2)</f>
        <v>0</v>
      </c>
      <c r="F364" s="582"/>
      <c r="G364" s="581">
        <f t="shared" ca="1" si="202"/>
        <v>0</v>
      </c>
      <c r="H364" s="582">
        <f t="shared" ref="H364" ca="1" si="215">ROUND(F364*(1+G364),2)</f>
        <v>0</v>
      </c>
      <c r="I364" s="581">
        <f ca="1">SUM(Снижение!G27:W27)</f>
        <v>0</v>
      </c>
      <c r="J364" s="582"/>
      <c r="K364" s="17">
        <v>0.18</v>
      </c>
      <c r="L364" s="1"/>
      <c r="M364" s="1"/>
      <c r="N364" s="62">
        <f t="shared" ca="1" si="205"/>
        <v>0</v>
      </c>
      <c r="O364" s="62"/>
      <c r="P364" s="62">
        <f ca="1">IF(Снижение!$E$9,Снижение!X27,E364)</f>
        <v>0</v>
      </c>
      <c r="Q364" s="17">
        <v>0.18</v>
      </c>
      <c r="R364" s="249">
        <f t="shared" ca="1" si="206"/>
        <v>0</v>
      </c>
      <c r="T364" s="62">
        <f ca="1">IF(Снижение!$E$9,Снижение!X27,IF($P$11=0,I338,E364))/(1+$T$353)</f>
        <v>0</v>
      </c>
      <c r="AI364" s="60"/>
      <c r="AJ364" s="60"/>
      <c r="AK364" s="60"/>
      <c r="AL364" s="60"/>
    </row>
    <row r="365" spans="3:38" x14ac:dyDescent="0.2">
      <c r="C365" s="1" t="str">
        <f t="shared" si="211"/>
        <v>Оборудование КЛ</v>
      </c>
      <c r="D365" s="39"/>
      <c r="E365" s="581">
        <f t="shared" ref="E365:E369" ca="1" si="216">ROUND(I339*G339,2)</f>
        <v>0</v>
      </c>
      <c r="F365" s="582"/>
      <c r="G365" s="581">
        <f t="shared" ref="G365:G372" ca="1" si="217">ROUND(E365*(1+Q338),2)</f>
        <v>0</v>
      </c>
      <c r="H365" s="582">
        <f t="shared" ca="1" si="207"/>
        <v>0</v>
      </c>
      <c r="I365" s="581">
        <f ca="1">SUM(Снижение!G28:W28)</f>
        <v>0</v>
      </c>
      <c r="J365" s="582"/>
      <c r="K365" s="17">
        <v>0.18</v>
      </c>
      <c r="L365" s="1"/>
      <c r="M365" s="1"/>
      <c r="N365" s="62">
        <f t="shared" ca="1" si="205"/>
        <v>0</v>
      </c>
      <c r="O365" s="62"/>
      <c r="P365" s="62">
        <f ca="1">IF(Снижение!$E$9,Снижение!X28,E365)</f>
        <v>0</v>
      </c>
      <c r="Q365" s="17">
        <v>0.18</v>
      </c>
      <c r="R365" s="249">
        <f t="shared" ca="1" si="206"/>
        <v>0</v>
      </c>
      <c r="T365" s="62">
        <f ca="1">IF(Снижение!$E$9,Снижение!X28,IF($P$11=0,I339,E365))/(1+$T$353)</f>
        <v>0</v>
      </c>
      <c r="AI365" s="60"/>
      <c r="AJ365" s="60"/>
      <c r="AK365" s="60"/>
      <c r="AL365" s="60"/>
    </row>
    <row r="366" spans="3:38" x14ac:dyDescent="0.2">
      <c r="C366" s="1" t="str">
        <f t="shared" si="211"/>
        <v>Оборудование ПС</v>
      </c>
      <c r="D366" s="39"/>
      <c r="E366" s="581">
        <f t="shared" ca="1" si="216"/>
        <v>2431.94</v>
      </c>
      <c r="F366" s="582"/>
      <c r="G366" s="581">
        <f t="shared" ca="1" si="217"/>
        <v>2869.69</v>
      </c>
      <c r="H366" s="582">
        <f t="shared" ca="1" si="207"/>
        <v>0</v>
      </c>
      <c r="I366" s="581">
        <f ca="1">SUM(Снижение!G29:W29)</f>
        <v>18315.38</v>
      </c>
      <c r="J366" s="582"/>
      <c r="K366" s="17">
        <v>0.18</v>
      </c>
      <c r="L366" s="1"/>
      <c r="M366" s="1"/>
      <c r="N366" s="62">
        <f t="shared" ca="1" si="205"/>
        <v>21612.15</v>
      </c>
      <c r="O366" s="62"/>
      <c r="P366" s="62">
        <f ca="1">IF(Снижение!$E$9,Снижение!X29,E366)</f>
        <v>12820.77</v>
      </c>
      <c r="Q366" s="17">
        <v>0.18</v>
      </c>
      <c r="R366" s="249">
        <f t="shared" ca="1" si="206"/>
        <v>15128.51</v>
      </c>
      <c r="T366" s="62">
        <f ca="1">IF(Снижение!$E$9,Снижение!X29,IF($P$11=0,I340,E366))/(1+$T$353)</f>
        <v>12543.68247918327</v>
      </c>
      <c r="AI366" s="60"/>
      <c r="AJ366" s="60"/>
      <c r="AK366" s="60"/>
      <c r="AL366" s="60"/>
    </row>
    <row r="367" spans="3:38" x14ac:dyDescent="0.2">
      <c r="C367" s="1" t="str">
        <f t="shared" si="211"/>
        <v>Пусконаладочные работы ВЛ</v>
      </c>
      <c r="D367" s="39"/>
      <c r="E367" s="581">
        <f t="shared" ca="1" si="216"/>
        <v>0</v>
      </c>
      <c r="F367" s="582"/>
      <c r="G367" s="581">
        <f t="shared" ca="1" si="217"/>
        <v>0</v>
      </c>
      <c r="H367" s="582">
        <f t="shared" ca="1" si="207"/>
        <v>0</v>
      </c>
      <c r="I367" s="581">
        <f ca="1">SUM(Снижение!G30:W30)</f>
        <v>0</v>
      </c>
      <c r="J367" s="582"/>
      <c r="K367" s="17">
        <v>0.18</v>
      </c>
      <c r="L367" s="1"/>
      <c r="M367" s="1"/>
      <c r="N367" s="62">
        <f t="shared" ca="1" si="205"/>
        <v>0</v>
      </c>
      <c r="O367" s="62"/>
      <c r="P367" s="62">
        <f ca="1">IF(Снижение!$E$9,Снижение!X30,E367)</f>
        <v>0</v>
      </c>
      <c r="Q367" s="17">
        <v>0.18</v>
      </c>
      <c r="R367" s="249">
        <f t="shared" ca="1" si="206"/>
        <v>0</v>
      </c>
      <c r="T367" s="62">
        <f ca="1">IF(Снижение!$E$9,Снижение!X30,IF($P$11=0,I341,E367))/(1+$T$353)</f>
        <v>0</v>
      </c>
      <c r="AI367" s="60"/>
      <c r="AJ367" s="60"/>
      <c r="AK367" s="60"/>
      <c r="AL367" s="60"/>
    </row>
    <row r="368" spans="3:38" x14ac:dyDescent="0.2">
      <c r="C368" s="1" t="str">
        <f t="shared" si="211"/>
        <v>Пусконаладочные работы КЛ</v>
      </c>
      <c r="D368" s="39"/>
      <c r="E368" s="581">
        <f t="shared" ca="1" si="216"/>
        <v>0</v>
      </c>
      <c r="F368" s="582"/>
      <c r="G368" s="581">
        <f t="shared" ca="1" si="217"/>
        <v>0</v>
      </c>
      <c r="H368" s="582">
        <f t="shared" ca="1" si="207"/>
        <v>0</v>
      </c>
      <c r="I368" s="581">
        <f ca="1">SUM(Снижение!G31:W31)</f>
        <v>0</v>
      </c>
      <c r="J368" s="582"/>
      <c r="K368" s="17">
        <v>0.18</v>
      </c>
      <c r="L368" s="1"/>
      <c r="M368" s="1"/>
      <c r="N368" s="62">
        <f t="shared" ca="1" si="205"/>
        <v>0</v>
      </c>
      <c r="O368" s="62"/>
      <c r="P368" s="62">
        <f ca="1">IF(Снижение!$E$9,Снижение!X31,E368)</f>
        <v>0</v>
      </c>
      <c r="Q368" s="17">
        <v>0.18</v>
      </c>
      <c r="R368" s="249">
        <f t="shared" ca="1" si="206"/>
        <v>0</v>
      </c>
      <c r="T368" s="62">
        <f ca="1">IF(Снижение!$E$9,Снижение!X31,IF($P$11=0,I342,E368))/(1+$T$353)</f>
        <v>0</v>
      </c>
      <c r="AI368" s="60"/>
      <c r="AJ368" s="60"/>
      <c r="AK368" s="60"/>
      <c r="AL368" s="60"/>
    </row>
    <row r="369" spans="1:38" x14ac:dyDescent="0.2">
      <c r="C369" s="1" t="str">
        <f t="shared" si="211"/>
        <v>Пусконаладочные работы ПС</v>
      </c>
      <c r="D369" s="39"/>
      <c r="E369" s="581">
        <f t="shared" ca="1" si="216"/>
        <v>162.12</v>
      </c>
      <c r="F369" s="582"/>
      <c r="G369" s="581">
        <f t="shared" ca="1" si="217"/>
        <v>191.3</v>
      </c>
      <c r="H369" s="582">
        <f t="shared" ca="1" si="207"/>
        <v>0</v>
      </c>
      <c r="I369" s="581">
        <f ca="1">SUM(Снижение!G32:W32)</f>
        <v>4046.41</v>
      </c>
      <c r="J369" s="582"/>
      <c r="K369" s="17">
        <v>0.18</v>
      </c>
      <c r="L369" s="1"/>
      <c r="M369" s="1"/>
      <c r="N369" s="62">
        <f t="shared" ca="1" si="205"/>
        <v>4774.76</v>
      </c>
      <c r="O369" s="62"/>
      <c r="P369" s="62">
        <f ca="1">IF(Снижение!$E$9,Снижение!X32,E369)</f>
        <v>2832.49</v>
      </c>
      <c r="Q369" s="17">
        <v>0.18</v>
      </c>
      <c r="R369" s="249">
        <f t="shared" ca="1" si="206"/>
        <v>3342.34</v>
      </c>
      <c r="T369" s="62">
        <f ca="1">IF(Снижение!$E$9,Снижение!X32,IF($P$11=0,I343,E369))/(1+$T$353)</f>
        <v>2771.2731127273805</v>
      </c>
      <c r="AI369" s="60"/>
      <c r="AJ369" s="60"/>
      <c r="AK369" s="60"/>
      <c r="AL369" s="60"/>
    </row>
    <row r="370" spans="1:38" hidden="1" x14ac:dyDescent="0.2">
      <c r="C370" s="56" t="str">
        <f t="shared" si="211"/>
        <v>Прочие затраты ВЛ</v>
      </c>
      <c r="D370" s="39"/>
      <c r="E370" s="581">
        <f ca="1">ROUND(I344*G344,2)</f>
        <v>0</v>
      </c>
      <c r="F370" s="582"/>
      <c r="G370" s="581">
        <f t="shared" ca="1" si="217"/>
        <v>0</v>
      </c>
      <c r="H370" s="582">
        <f t="shared" ca="1" si="207"/>
        <v>0</v>
      </c>
      <c r="I370" s="581">
        <f ca="1">SUM(Снижение!G33:W33)</f>
        <v>0</v>
      </c>
      <c r="J370" s="582"/>
      <c r="K370" s="17">
        <v>0.18</v>
      </c>
      <c r="L370" s="1"/>
      <c r="M370" s="1"/>
      <c r="N370" s="62">
        <f t="shared" ca="1" si="205"/>
        <v>0</v>
      </c>
      <c r="O370" s="62"/>
      <c r="P370" s="62">
        <f ca="1">IF(Снижение!$E$9,Снижение!X33,E370)</f>
        <v>0</v>
      </c>
      <c r="Q370" s="17">
        <v>0.18</v>
      </c>
      <c r="R370" s="249">
        <f t="shared" ca="1" si="206"/>
        <v>0</v>
      </c>
      <c r="T370" s="62">
        <f ca="1">IF(Снижение!$E$9,Снижение!X33,IF($P$11=0,I344,E370))/(1+$T$353)</f>
        <v>0</v>
      </c>
      <c r="AI370" s="60"/>
      <c r="AJ370" s="60"/>
      <c r="AK370" s="60"/>
      <c r="AL370" s="60"/>
    </row>
    <row r="371" spans="1:38" hidden="1" x14ac:dyDescent="0.2">
      <c r="C371" s="56" t="str">
        <f t="shared" si="211"/>
        <v>Прочие затраты КЛ</v>
      </c>
      <c r="D371" s="39"/>
      <c r="E371" s="581">
        <f ca="1">ROUND(I345*G345,2)</f>
        <v>0</v>
      </c>
      <c r="F371" s="582"/>
      <c r="G371" s="581">
        <f t="shared" ca="1" si="217"/>
        <v>0</v>
      </c>
      <c r="H371" s="582">
        <f t="shared" ca="1" si="207"/>
        <v>0</v>
      </c>
      <c r="I371" s="581">
        <f ca="1">SUM(Снижение!G34:W34)</f>
        <v>0</v>
      </c>
      <c r="J371" s="582"/>
      <c r="K371" s="17">
        <v>0.18</v>
      </c>
      <c r="L371" s="1"/>
      <c r="M371" s="1"/>
      <c r="N371" s="62">
        <f t="shared" ca="1" si="205"/>
        <v>0</v>
      </c>
      <c r="O371" s="62"/>
      <c r="P371" s="62">
        <f ca="1">IF(Снижение!$E$9,Снижение!X34,E371)</f>
        <v>0</v>
      </c>
      <c r="Q371" s="17">
        <v>0.18</v>
      </c>
      <c r="R371" s="249">
        <f t="shared" ca="1" si="206"/>
        <v>0</v>
      </c>
      <c r="T371" s="62">
        <f ca="1">IF(Снижение!$E$9,Снижение!X34,IF($P$11=0,I345,E371))/(1+$T$353)</f>
        <v>0</v>
      </c>
      <c r="AI371" s="60"/>
      <c r="AJ371" s="60"/>
      <c r="AK371" s="60"/>
      <c r="AL371" s="60"/>
    </row>
    <row r="372" spans="1:38" hidden="1" x14ac:dyDescent="0.2">
      <c r="C372" s="56" t="str">
        <f t="shared" si="211"/>
        <v>Прочие затраты ПС</v>
      </c>
      <c r="D372" s="39"/>
      <c r="E372" s="581">
        <f ca="1">ROUND(I346*G346,2)</f>
        <v>364.8</v>
      </c>
      <c r="F372" s="582"/>
      <c r="G372" s="581">
        <f t="shared" ca="1" si="217"/>
        <v>430.46</v>
      </c>
      <c r="H372" s="582">
        <f t="shared" ca="1" si="207"/>
        <v>0</v>
      </c>
      <c r="I372" s="581">
        <f ca="1">SUM(Снижение!G35:W35)</f>
        <v>5415.63</v>
      </c>
      <c r="J372" s="582"/>
      <c r="K372" s="17">
        <v>0.18</v>
      </c>
      <c r="L372" s="1"/>
      <c r="M372" s="1"/>
      <c r="N372" s="62">
        <f t="shared" ca="1" si="205"/>
        <v>6390.44</v>
      </c>
      <c r="O372" s="62"/>
      <c r="P372" s="62">
        <f ca="1">IF(Снижение!$E$9,Снижение!X35,E372)</f>
        <v>3790.94</v>
      </c>
      <c r="Q372" s="17">
        <v>0.18</v>
      </c>
      <c r="R372" s="249">
        <f t="shared" ca="1" si="206"/>
        <v>4473.3100000000004</v>
      </c>
      <c r="T372" s="62">
        <f ca="1">IF(Снижение!$E$9,Снижение!X35,IF($P$11=0,I346,E372))/(1+$T$353)</f>
        <v>3709.0087145807174</v>
      </c>
      <c r="AI372" s="60"/>
      <c r="AJ372" s="60"/>
      <c r="AK372" s="60"/>
      <c r="AL372" s="60"/>
    </row>
    <row r="373" spans="1:38" hidden="1" x14ac:dyDescent="0.2">
      <c r="C373" s="1" t="str">
        <f t="shared" ref="C373:C375" si="218">C347</f>
        <v>Итого по ВЛ</v>
      </c>
      <c r="D373" s="39"/>
      <c r="E373" s="581">
        <f ca="1">E355+E358+E359+E364+E367+E370</f>
        <v>0</v>
      </c>
      <c r="F373" s="582">
        <f t="shared" ref="F373:J373" si="219">F355+F358+F362+F359+F364+F367+F370</f>
        <v>0</v>
      </c>
      <c r="G373" s="581">
        <f ca="1">G355+G358+G359+G364+G367+G370</f>
        <v>0</v>
      </c>
      <c r="H373" s="582">
        <f t="shared" ca="1" si="219"/>
        <v>0</v>
      </c>
      <c r="I373" s="581">
        <f ca="1">I355+I358+I359+I364+I367+I370</f>
        <v>0</v>
      </c>
      <c r="J373" s="582">
        <f t="shared" si="219"/>
        <v>0</v>
      </c>
      <c r="K373" s="1"/>
      <c r="L373" s="1"/>
      <c r="M373" s="1"/>
      <c r="N373" s="62">
        <f ca="1">N355+N358+N359+N364+N367+N370</f>
        <v>0</v>
      </c>
      <c r="O373" s="62"/>
      <c r="P373" s="62">
        <f ca="1">P355+P358+P359+P364+P367+P370</f>
        <v>0</v>
      </c>
      <c r="Q373" s="27"/>
      <c r="R373" s="249">
        <f ca="1">R355+R358+R359+R364+R367+R370</f>
        <v>0</v>
      </c>
      <c r="T373" s="62">
        <f ca="1">T355+T358+T362+T359+T364+T367+T370</f>
        <v>0</v>
      </c>
      <c r="AI373" s="60"/>
      <c r="AJ373" s="60"/>
      <c r="AK373" s="60"/>
      <c r="AL373" s="60"/>
    </row>
    <row r="374" spans="1:38" hidden="1" x14ac:dyDescent="0.2">
      <c r="C374" s="1" t="str">
        <f t="shared" si="218"/>
        <v>Итого по КЛ</v>
      </c>
      <c r="D374" s="39"/>
      <c r="E374" s="581">
        <f ca="1">E356+E360+E361+E365+E368+E371</f>
        <v>0</v>
      </c>
      <c r="F374" s="582">
        <f t="shared" ref="F374:J374" si="220">F356+F360+F361+F365+F368+F371</f>
        <v>0</v>
      </c>
      <c r="G374" s="581">
        <f t="shared" ca="1" si="220"/>
        <v>0</v>
      </c>
      <c r="H374" s="582">
        <f t="shared" ca="1" si="220"/>
        <v>0</v>
      </c>
      <c r="I374" s="581">
        <f t="shared" ca="1" si="220"/>
        <v>0</v>
      </c>
      <c r="J374" s="582">
        <f t="shared" si="220"/>
        <v>0</v>
      </c>
      <c r="K374" s="1"/>
      <c r="L374" s="1"/>
      <c r="M374" s="1"/>
      <c r="N374" s="62">
        <f ca="1">N356+N360+N361+N365+N368+N371</f>
        <v>0</v>
      </c>
      <c r="O374" s="62"/>
      <c r="P374" s="62">
        <f ca="1">P356+P360+P361+P365+P368+P371</f>
        <v>0</v>
      </c>
      <c r="Q374" s="17"/>
      <c r="R374" s="249">
        <f ca="1">R356+R360+R361+R365+R368+R371</f>
        <v>0</v>
      </c>
      <c r="T374" s="62">
        <f ca="1">T356+T360+T361+T365+T368+T371</f>
        <v>0</v>
      </c>
      <c r="AI374" s="60"/>
      <c r="AJ374" s="60"/>
      <c r="AK374" s="60"/>
      <c r="AL374" s="60"/>
    </row>
    <row r="375" spans="1:38" hidden="1" x14ac:dyDescent="0.2">
      <c r="C375" s="1" t="str">
        <f t="shared" si="218"/>
        <v>Итого по ПС</v>
      </c>
      <c r="D375" s="39"/>
      <c r="E375" s="581">
        <f ca="1">E357+E362+E363+E366+E369+E372</f>
        <v>4053.23</v>
      </c>
      <c r="F375" s="582">
        <f t="shared" ref="F375:J375" si="221">F357+F363+F366+F369+F372</f>
        <v>0</v>
      </c>
      <c r="G375" s="581">
        <f ca="1">G357+G362+G363+G366+G369+G372</f>
        <v>4782.8100000000004</v>
      </c>
      <c r="H375" s="582">
        <f t="shared" ca="1" si="221"/>
        <v>0</v>
      </c>
      <c r="I375" s="581">
        <f ca="1">I357+I362+I363+I366+I369+I372</f>
        <v>39675.189999999995</v>
      </c>
      <c r="J375" s="582">
        <f t="shared" si="221"/>
        <v>0</v>
      </c>
      <c r="K375" s="1"/>
      <c r="L375" s="1"/>
      <c r="M375" s="1"/>
      <c r="N375" s="62">
        <f ca="1">N357+N362+N363+N366+N369+N372</f>
        <v>46816.720000000008</v>
      </c>
      <c r="O375" s="62"/>
      <c r="P375" s="62">
        <f ca="1">P357+P362+P363+P366+P369+P372</f>
        <v>27772.639999999996</v>
      </c>
      <c r="Q375" s="17"/>
      <c r="R375" s="249">
        <f ca="1">R357+R362+R363+R366+R369+R372</f>
        <v>32771.72</v>
      </c>
      <c r="T375" s="62">
        <f ca="1">T357+T363+T366+T369+T372</f>
        <v>27172.406787475673</v>
      </c>
      <c r="AI375" s="60"/>
      <c r="AJ375" s="60"/>
      <c r="AK375" s="60"/>
      <c r="AL375" s="60"/>
    </row>
    <row r="376" spans="1:38" s="60" customFormat="1" x14ac:dyDescent="0.2">
      <c r="A376" s="126"/>
      <c r="C376" s="182"/>
      <c r="D376" s="182"/>
      <c r="E376" s="361"/>
      <c r="F376" s="361"/>
      <c r="G376" s="361"/>
      <c r="H376" s="361"/>
      <c r="I376" s="361"/>
      <c r="J376" s="361"/>
      <c r="K376" s="182"/>
      <c r="L376" s="182"/>
      <c r="M376" s="182"/>
      <c r="N376" s="127"/>
      <c r="O376" s="127"/>
      <c r="P376" s="127"/>
      <c r="Q376" s="362"/>
      <c r="R376" s="253"/>
      <c r="T376" s="127"/>
      <c r="U376" s="79"/>
      <c r="V376" s="79"/>
      <c r="W376" s="79"/>
      <c r="X376" s="89"/>
      <c r="Y376" s="89"/>
      <c r="Z376" s="89"/>
      <c r="AA376" s="89"/>
      <c r="AB376" s="89"/>
      <c r="AC376" s="137"/>
      <c r="AD376" s="89"/>
    </row>
    <row r="377" spans="1:38" s="60" customFormat="1" x14ac:dyDescent="0.2">
      <c r="A377" s="126"/>
      <c r="C377" s="380" t="s">
        <v>1212</v>
      </c>
      <c r="D377" s="380"/>
      <c r="E377" s="381"/>
      <c r="F377" s="381"/>
      <c r="G377" s="381"/>
      <c r="H377" s="381"/>
      <c r="I377" s="381"/>
      <c r="J377" s="381"/>
      <c r="K377" s="380"/>
      <c r="L377" s="380"/>
      <c r="M377" s="380"/>
      <c r="N377" s="382"/>
      <c r="O377" s="382"/>
      <c r="P377" s="382"/>
      <c r="Q377" s="383"/>
      <c r="R377" s="384"/>
      <c r="T377" s="127"/>
      <c r="U377" s="79"/>
      <c r="V377" s="79"/>
      <c r="W377" s="79"/>
      <c r="X377" s="89"/>
      <c r="Y377" s="89"/>
      <c r="Z377" s="89"/>
      <c r="AA377" s="89"/>
      <c r="AB377" s="89"/>
      <c r="AC377" s="137"/>
      <c r="AD377" s="89"/>
    </row>
    <row r="378" spans="1:38" s="60" customFormat="1" x14ac:dyDescent="0.2">
      <c r="A378" s="126"/>
      <c r="C378" s="380"/>
      <c r="D378" s="380"/>
      <c r="E378" s="381"/>
      <c r="F378" s="381"/>
      <c r="G378" s="381"/>
      <c r="H378" s="381"/>
      <c r="I378" s="381"/>
      <c r="J378" s="381"/>
      <c r="K378" s="380"/>
      <c r="L378" s="380"/>
      <c r="M378" s="380"/>
      <c r="N378" s="382"/>
      <c r="O378" s="382"/>
      <c r="P378" s="382"/>
      <c r="Q378" s="383"/>
      <c r="R378" s="384"/>
      <c r="T378" s="127"/>
      <c r="U378" s="79"/>
      <c r="V378" s="79"/>
      <c r="W378" s="79"/>
      <c r="X378" s="89"/>
      <c r="Y378" s="89"/>
      <c r="Z378" s="89"/>
      <c r="AA378" s="89"/>
      <c r="AB378" s="89"/>
      <c r="AC378" s="137"/>
      <c r="AD378" s="89"/>
    </row>
    <row r="379" spans="1:38" s="60" customFormat="1" x14ac:dyDescent="0.2">
      <c r="A379" s="126"/>
      <c r="C379" s="380" t="s">
        <v>1340</v>
      </c>
      <c r="D379" s="380"/>
      <c r="E379" s="381"/>
      <c r="F379" s="381"/>
      <c r="G379" s="381"/>
      <c r="H379" s="381"/>
      <c r="I379" s="381"/>
      <c r="J379" s="381"/>
      <c r="K379" s="380"/>
      <c r="L379" s="380"/>
      <c r="M379" s="380"/>
      <c r="N379" s="382"/>
      <c r="O379" s="382"/>
      <c r="P379" s="382"/>
      <c r="Q379" s="383"/>
      <c r="R379" s="384"/>
      <c r="T379" s="127"/>
      <c r="U379" s="79"/>
      <c r="V379" s="79"/>
      <c r="W379" s="79"/>
      <c r="X379" s="89"/>
      <c r="Y379" s="89"/>
      <c r="Z379" s="89"/>
      <c r="AA379" s="89"/>
      <c r="AB379" s="89"/>
      <c r="AC379" s="137"/>
      <c r="AD379" s="89"/>
    </row>
    <row r="380" spans="1:38" s="60" customFormat="1" x14ac:dyDescent="0.2">
      <c r="A380" s="126"/>
      <c r="C380" s="380"/>
      <c r="D380" s="380"/>
      <c r="E380" s="381"/>
      <c r="F380" s="381"/>
      <c r="G380" s="381"/>
      <c r="H380" s="381"/>
      <c r="I380" s="381"/>
      <c r="J380" s="381"/>
      <c r="K380" s="380"/>
      <c r="L380" s="380"/>
      <c r="M380" s="380"/>
      <c r="N380" s="382"/>
      <c r="O380" s="382"/>
      <c r="P380" s="382"/>
      <c r="Q380" s="383"/>
      <c r="R380" s="384"/>
      <c r="T380" s="127"/>
      <c r="U380" s="79"/>
      <c r="V380" s="79"/>
      <c r="W380" s="79"/>
      <c r="X380" s="89"/>
      <c r="Y380" s="89"/>
      <c r="Z380" s="89"/>
      <c r="AA380" s="89"/>
      <c r="AB380" s="89"/>
      <c r="AC380" s="137"/>
      <c r="AD380" s="89"/>
    </row>
    <row r="381" spans="1:38" s="60" customFormat="1" x14ac:dyDescent="0.2">
      <c r="A381" s="126"/>
      <c r="C381" s="380" t="s">
        <v>1394</v>
      </c>
      <c r="D381" s="380"/>
      <c r="E381" s="381"/>
      <c r="F381" s="381"/>
      <c r="G381" s="381"/>
      <c r="H381" s="381"/>
      <c r="I381" s="381"/>
      <c r="J381" s="381"/>
      <c r="K381" s="380"/>
      <c r="L381" s="380"/>
      <c r="M381" s="380"/>
      <c r="N381" s="382"/>
      <c r="O381" s="382"/>
      <c r="P381" s="382"/>
      <c r="Q381" s="383"/>
      <c r="R381" s="384"/>
      <c r="T381" s="127"/>
      <c r="U381" s="79"/>
      <c r="V381" s="79"/>
      <c r="W381" s="79"/>
      <c r="X381" s="89"/>
      <c r="Y381" s="89"/>
      <c r="Z381" s="89"/>
      <c r="AA381" s="89"/>
      <c r="AB381" s="89"/>
      <c r="AC381" s="137"/>
      <c r="AD381" s="89"/>
    </row>
    <row r="382" spans="1:38" s="60" customFormat="1" x14ac:dyDescent="0.2">
      <c r="A382" s="126"/>
      <c r="C382" s="380"/>
      <c r="D382" s="380"/>
      <c r="E382" s="381"/>
      <c r="F382" s="381"/>
      <c r="G382" s="381"/>
      <c r="H382" s="381"/>
      <c r="I382" s="381"/>
      <c r="J382" s="381"/>
      <c r="K382" s="380"/>
      <c r="L382" s="380"/>
      <c r="M382" s="380"/>
      <c r="N382" s="382"/>
      <c r="O382" s="382"/>
      <c r="P382" s="382"/>
      <c r="Q382" s="383"/>
      <c r="R382" s="384"/>
      <c r="T382" s="127"/>
      <c r="U382" s="79"/>
      <c r="V382" s="79"/>
      <c r="W382" s="79"/>
      <c r="X382" s="89"/>
      <c r="Y382" s="89"/>
      <c r="Z382" s="89"/>
      <c r="AA382" s="89"/>
      <c r="AB382" s="89"/>
      <c r="AC382" s="137"/>
      <c r="AD382" s="89"/>
    </row>
    <row r="383" spans="1:38" s="60" customFormat="1" x14ac:dyDescent="0.2">
      <c r="A383" s="126"/>
      <c r="C383" s="519">
        <v>43110</v>
      </c>
      <c r="D383" s="380"/>
      <c r="E383" s="381"/>
      <c r="F383" s="381"/>
      <c r="G383" s="381"/>
      <c r="H383" s="381"/>
      <c r="I383" s="381"/>
      <c r="J383" s="381"/>
      <c r="K383" s="380"/>
      <c r="L383" s="380"/>
      <c r="M383" s="380"/>
      <c r="N383" s="382"/>
      <c r="O383" s="382"/>
      <c r="P383" s="382"/>
      <c r="Q383" s="383"/>
      <c r="R383" s="384"/>
      <c r="T383" s="127"/>
      <c r="U383" s="79"/>
      <c r="V383" s="79"/>
      <c r="W383" s="79"/>
      <c r="X383" s="89"/>
      <c r="Y383" s="89"/>
      <c r="Z383" s="89"/>
      <c r="AA383" s="89"/>
      <c r="AB383" s="89"/>
      <c r="AC383" s="137"/>
      <c r="AD383" s="89"/>
    </row>
    <row r="384" spans="1:38" s="60" customFormat="1" x14ac:dyDescent="0.2">
      <c r="A384" s="126"/>
      <c r="C384" s="380"/>
      <c r="D384" s="380"/>
      <c r="E384" s="381"/>
      <c r="F384" s="381"/>
      <c r="G384" s="381"/>
      <c r="H384" s="381"/>
      <c r="I384" s="381"/>
      <c r="J384" s="381"/>
      <c r="K384" s="380"/>
      <c r="L384" s="380"/>
      <c r="M384" s="380"/>
      <c r="N384" s="382"/>
      <c r="O384" s="382"/>
      <c r="P384" s="382"/>
      <c r="Q384" s="383"/>
      <c r="R384" s="384"/>
      <c r="T384" s="127"/>
      <c r="U384" s="79"/>
      <c r="V384" s="79"/>
      <c r="W384" s="79"/>
      <c r="X384" s="89"/>
      <c r="Y384" s="89"/>
      <c r="Z384" s="89"/>
      <c r="AA384" s="89"/>
      <c r="AB384" s="89"/>
      <c r="AC384" s="137"/>
      <c r="AD384" s="89"/>
    </row>
    <row r="385" spans="1:38" s="60" customFormat="1" x14ac:dyDescent="0.2">
      <c r="A385" s="126"/>
      <c r="C385" s="380"/>
      <c r="D385" s="380"/>
      <c r="E385" s="381"/>
      <c r="F385" s="381"/>
      <c r="G385" s="381"/>
      <c r="H385" s="381"/>
      <c r="I385" s="381"/>
      <c r="J385" s="381"/>
      <c r="K385" s="380"/>
      <c r="L385" s="380"/>
      <c r="M385" s="380"/>
      <c r="N385" s="382"/>
      <c r="O385" s="382"/>
      <c r="P385" s="382"/>
      <c r="Q385" s="383"/>
      <c r="R385" s="384"/>
      <c r="T385" s="127"/>
      <c r="U385" s="79"/>
      <c r="V385" s="79"/>
      <c r="W385" s="79"/>
      <c r="X385" s="89"/>
      <c r="Y385" s="89"/>
      <c r="Z385" s="89"/>
      <c r="AA385" s="89"/>
      <c r="AB385" s="89"/>
      <c r="AC385" s="137"/>
      <c r="AD385" s="89"/>
    </row>
    <row r="386" spans="1:38" s="60" customFormat="1" x14ac:dyDescent="0.2">
      <c r="A386" s="126"/>
      <c r="C386" s="182"/>
      <c r="D386" s="182"/>
      <c r="E386" s="361"/>
      <c r="F386" s="361"/>
      <c r="G386" s="361"/>
      <c r="H386" s="361"/>
      <c r="I386" s="361"/>
      <c r="J386" s="361"/>
      <c r="K386" s="182"/>
      <c r="L386" s="182"/>
      <c r="M386" s="182"/>
      <c r="N386" s="127"/>
      <c r="O386" s="127"/>
      <c r="P386" s="127"/>
      <c r="Q386" s="362"/>
      <c r="R386" s="253"/>
      <c r="T386" s="127"/>
      <c r="U386" s="79"/>
      <c r="V386" s="79"/>
      <c r="W386" s="79"/>
      <c r="X386" s="89"/>
      <c r="Y386" s="89"/>
      <c r="Z386" s="89"/>
      <c r="AA386" s="89"/>
      <c r="AB386" s="89"/>
      <c r="AC386" s="137"/>
      <c r="AD386" s="89"/>
    </row>
    <row r="387" spans="1:38" s="60" customFormat="1" ht="15" x14ac:dyDescent="0.2">
      <c r="A387" s="126"/>
      <c r="B387" s="296"/>
      <c r="C387" s="385" t="str">
        <f>IF('Расчет стоимости'!$P$13&lt;35,"                   ","СОГЛАСОВАНО:")</f>
        <v>СОГЛАСОВАНО:</v>
      </c>
      <c r="D387" s="296"/>
      <c r="E387" s="385"/>
      <c r="F387" s="386"/>
      <c r="G387" s="386"/>
      <c r="H387" s="386"/>
      <c r="I387" s="386"/>
      <c r="J387" s="386"/>
      <c r="K387" s="297"/>
      <c r="L387" s="297"/>
      <c r="M387" s="297"/>
      <c r="N387" s="387"/>
      <c r="O387" s="387"/>
      <c r="P387" s="387"/>
      <c r="Q387" s="388"/>
      <c r="R387" s="389"/>
      <c r="T387" s="127"/>
      <c r="U387" s="79"/>
      <c r="V387" s="79"/>
      <c r="W387" s="79"/>
      <c r="X387" s="89"/>
      <c r="Y387" s="89"/>
      <c r="Z387" s="89"/>
      <c r="AA387" s="89"/>
      <c r="AB387" s="89"/>
      <c r="AC387" s="137"/>
      <c r="AD387" s="89"/>
    </row>
    <row r="388" spans="1:38" s="60" customFormat="1" ht="12.75" customHeight="1" x14ac:dyDescent="0.2">
      <c r="A388" s="126"/>
      <c r="B388" s="296"/>
      <c r="C388" s="390" t="str">
        <f>IF('Расчет стоимости'!$P$13&lt;35,"                   ","Начальник департамента капитального строительства ''ПАО МРСК Северо-Запада''")</f>
        <v>Начальник департамента капитального строительства ''ПАО МРСК Северо-Запада''</v>
      </c>
      <c r="D388" s="391"/>
      <c r="E388" s="391"/>
      <c r="F388" s="386"/>
      <c r="G388" s="390"/>
      <c r="H388" s="386"/>
      <c r="I388" s="296"/>
      <c r="J388" s="386" t="str">
        <f>IF('Расчет стоимости'!$P$13&lt;35,"      ","___________ /Э.Б. Михневич/")</f>
        <v>___________ /Э.Б. Михневич/</v>
      </c>
      <c r="K388" s="297"/>
      <c r="L388" s="297"/>
      <c r="M388" s="297"/>
      <c r="N388" s="387"/>
      <c r="O388" s="387"/>
      <c r="P388" s="387"/>
      <c r="Q388" s="388"/>
      <c r="R388" s="389"/>
      <c r="T388" s="127"/>
      <c r="U388" s="79"/>
      <c r="V388" s="79"/>
      <c r="W388" s="79"/>
      <c r="X388" s="89"/>
      <c r="Y388" s="89"/>
      <c r="Z388" s="89"/>
      <c r="AA388" s="89"/>
      <c r="AB388" s="89"/>
      <c r="AC388" s="137"/>
      <c r="AD388" s="89"/>
    </row>
    <row r="389" spans="1:38" s="60" customFormat="1" ht="12.75" customHeight="1" x14ac:dyDescent="0.2">
      <c r="A389" s="126"/>
      <c r="B389" s="296"/>
      <c r="C389" s="390"/>
      <c r="D389" s="391"/>
      <c r="E389" s="391"/>
      <c r="F389" s="386"/>
      <c r="G389" s="390"/>
      <c r="H389" s="386"/>
      <c r="I389" s="296"/>
      <c r="J389" s="386"/>
      <c r="K389" s="297"/>
      <c r="L389" s="297"/>
      <c r="M389" s="297"/>
      <c r="N389" s="387"/>
      <c r="O389" s="387"/>
      <c r="P389" s="387"/>
      <c r="Q389" s="388"/>
      <c r="R389" s="389"/>
      <c r="T389" s="127"/>
      <c r="U389" s="79"/>
      <c r="V389" s="79"/>
      <c r="W389" s="79"/>
      <c r="X389" s="89"/>
      <c r="Y389" s="89"/>
      <c r="Z389" s="89"/>
      <c r="AA389" s="89"/>
      <c r="AB389" s="89"/>
      <c r="AC389" s="137"/>
      <c r="AD389" s="89"/>
    </row>
    <row r="390" spans="1:38" s="60" customFormat="1" ht="12.75" customHeight="1" x14ac:dyDescent="0.2">
      <c r="A390" s="126"/>
      <c r="B390" s="296"/>
      <c r="C390" s="390" t="str">
        <f>IF('Расчет стоимости'!$P$13&lt;35,"              ","Начальник отдела проектов и сметного нормирования")</f>
        <v>Начальник отдела проектов и сметного нормирования</v>
      </c>
      <c r="D390" s="391"/>
      <c r="E390" s="391"/>
      <c r="F390" s="386"/>
      <c r="G390" s="390"/>
      <c r="H390" s="386"/>
      <c r="I390" s="296"/>
      <c r="J390" s="386" t="str">
        <f>IF('Расчет стоимости'!$P$13&lt;35,"      ","___________ /Т.В. Судакова/")</f>
        <v>___________ /Т.В. Судакова/</v>
      </c>
      <c r="K390" s="297"/>
      <c r="L390" s="297"/>
      <c r="M390" s="297"/>
      <c r="N390" s="387"/>
      <c r="O390" s="387"/>
      <c r="P390" s="387"/>
      <c r="Q390" s="388"/>
      <c r="R390" s="389"/>
      <c r="T390" s="127"/>
      <c r="U390" s="79"/>
      <c r="V390" s="79"/>
      <c r="W390" s="79"/>
      <c r="X390" s="89"/>
      <c r="Y390" s="89"/>
      <c r="Z390" s="89"/>
      <c r="AA390" s="89"/>
      <c r="AB390" s="89"/>
      <c r="AC390" s="137"/>
      <c r="AD390" s="89"/>
    </row>
    <row r="391" spans="1:38" s="60" customFormat="1" ht="15" x14ac:dyDescent="0.2">
      <c r="A391" s="126"/>
      <c r="B391" s="296"/>
      <c r="C391" s="392"/>
      <c r="D391" s="578"/>
      <c r="E391" s="578"/>
      <c r="F391" s="386"/>
      <c r="G391" s="386"/>
      <c r="H391" s="386"/>
      <c r="I391" s="576"/>
      <c r="J391" s="576"/>
      <c r="K391" s="297"/>
      <c r="L391" s="297"/>
      <c r="M391" s="297"/>
      <c r="N391" s="387"/>
      <c r="O391" s="387"/>
      <c r="P391" s="387"/>
      <c r="Q391" s="388"/>
      <c r="R391" s="389"/>
      <c r="T391" s="127"/>
      <c r="U391" s="79"/>
      <c r="V391" s="79"/>
      <c r="W391" s="79"/>
      <c r="X391" s="89"/>
      <c r="Y391" s="89"/>
      <c r="Z391" s="89"/>
      <c r="AA391" s="89"/>
      <c r="AB391" s="89"/>
      <c r="AC391" s="137"/>
      <c r="AD391" s="89"/>
    </row>
    <row r="392" spans="1:38" s="60" customFormat="1" x14ac:dyDescent="0.2">
      <c r="A392" s="126"/>
      <c r="C392" s="360"/>
      <c r="F392" s="361"/>
      <c r="G392" s="361"/>
      <c r="H392" s="361"/>
      <c r="I392" s="361"/>
      <c r="J392" s="361"/>
      <c r="K392" s="182"/>
      <c r="L392" s="182"/>
      <c r="M392" s="182"/>
      <c r="N392" s="127"/>
      <c r="O392" s="127"/>
      <c r="P392" s="127"/>
      <c r="Q392" s="362"/>
      <c r="R392" s="253"/>
      <c r="T392" s="127"/>
      <c r="U392" s="79"/>
      <c r="V392" s="79"/>
      <c r="W392" s="79"/>
      <c r="X392" s="89"/>
      <c r="Y392" s="89"/>
      <c r="Z392" s="89"/>
      <c r="AA392" s="89"/>
      <c r="AB392" s="89"/>
      <c r="AC392" s="137"/>
      <c r="AD392" s="89"/>
    </row>
    <row r="393" spans="1:38" x14ac:dyDescent="0.2">
      <c r="AI393" s="60"/>
      <c r="AJ393" s="60"/>
      <c r="AK393" s="60"/>
      <c r="AL393" s="60"/>
    </row>
    <row r="394" spans="1:38" ht="14.25" x14ac:dyDescent="0.2">
      <c r="D394" s="29"/>
      <c r="AI394" s="60"/>
      <c r="AJ394" s="60"/>
      <c r="AK394" s="60"/>
      <c r="AL394" s="60"/>
    </row>
    <row r="395" spans="1:38" ht="12.75" customHeight="1" x14ac:dyDescent="0.2">
      <c r="C395" s="29" t="s">
        <v>1066</v>
      </c>
      <c r="AI395" s="60"/>
      <c r="AJ395" s="60"/>
      <c r="AK395" s="60"/>
      <c r="AL395" s="60"/>
    </row>
    <row r="396" spans="1:38" ht="25.5" customHeight="1" x14ac:dyDescent="0.2">
      <c r="C396" s="588" t="s">
        <v>1067</v>
      </c>
      <c r="D396" s="597"/>
      <c r="E396" s="590" t="s">
        <v>1068</v>
      </c>
      <c r="F396" s="590"/>
      <c r="G396" s="591" t="s">
        <v>1073</v>
      </c>
      <c r="H396" s="592"/>
      <c r="I396" s="592"/>
      <c r="J396" s="593"/>
      <c r="K396" s="590" t="s">
        <v>1069</v>
      </c>
      <c r="L396" s="590"/>
      <c r="M396" s="590"/>
      <c r="N396" s="590"/>
      <c r="O396" s="5"/>
      <c r="P396" s="586" t="s">
        <v>1257</v>
      </c>
      <c r="Q396" s="586" t="s">
        <v>1279</v>
      </c>
      <c r="R396" s="585" t="s">
        <v>1259</v>
      </c>
      <c r="S396" s="117" t="s">
        <v>1077</v>
      </c>
      <c r="T396" s="106" t="s">
        <v>1078</v>
      </c>
      <c r="U396" s="107" t="s">
        <v>1079</v>
      </c>
      <c r="V396" s="107" t="s">
        <v>1080</v>
      </c>
      <c r="W396" s="107" t="s">
        <v>474</v>
      </c>
      <c r="AI396" s="60"/>
      <c r="AJ396" s="60"/>
      <c r="AK396" s="60"/>
      <c r="AL396" s="60"/>
    </row>
    <row r="397" spans="1:38" ht="25.5" customHeight="1" x14ac:dyDescent="0.2">
      <c r="B397" s="60"/>
      <c r="C397" s="588"/>
      <c r="D397" s="598"/>
      <c r="E397" s="590"/>
      <c r="F397" s="590"/>
      <c r="G397" s="594"/>
      <c r="H397" s="595"/>
      <c r="I397" s="595"/>
      <c r="J397" s="596"/>
      <c r="K397" s="113" t="s">
        <v>1070</v>
      </c>
      <c r="L397" s="113"/>
      <c r="M397" s="113" t="s">
        <v>1075</v>
      </c>
      <c r="N397" s="113" t="s">
        <v>1071</v>
      </c>
      <c r="O397" s="1"/>
      <c r="P397" s="587"/>
      <c r="Q397" s="587"/>
      <c r="R397" s="585"/>
      <c r="S397" s="30" t="s">
        <v>1076</v>
      </c>
      <c r="T397" s="2">
        <f ca="1">IF(AND(Снижение!$D$27+Снижение!$D$28+Снижение!$D$29&gt;0,Снижение!$X$27+Снижение!$X$28+Снижение!$X$29),(Снижение!$X$27+Снижение!$X$28+Снижение!$X$29)/(Снижение!$D$27+Снижение!$D$28+Снижение!$D$29),1)</f>
        <v>5.2718282523417521</v>
      </c>
      <c r="U397" s="79">
        <f ca="1">IF(AND(Снижение!$D$30+Снижение!$D$31+Снижение!$D$32&gt;0,Снижение!$X$30+Снижение!$X$31+Снижение!$X$32),(Снижение!$X$30+Снижение!$X$31+Снижение!$X$32)/(Снижение!$D$30+Снижение!$D$31+Снижение!$D$32),1)</f>
        <v>17.471564273377744</v>
      </c>
      <c r="V397" s="79">
        <f ca="1">IF(AND(Снижение!$D$18+Снижение!$D$19+Снижение!$D$20&gt;0,Снижение!$X$18+Снижение!$X$19+Снижение!$X$20),(Снижение!$X$18+Снижение!$X$19+Снижение!$X$20)/(Снижение!$D$18+Снижение!$D$19+Снижение!$D$20),1)</f>
        <v>4.871615370381793</v>
      </c>
      <c r="W397" s="79">
        <f ca="1">IF(AND(Снижение!$D$33+Снижение!$D$34+Снижение!$D$35&gt;0,Снижение!$X$33+Снижение!$X$34+Снижение!$X$35),(Снижение!$X$33+Снижение!$X$34+Снижение!$X$35)/(Снижение!$D$33+Снижение!$D$34+Снижение!$D$35),1)</f>
        <v>10.391831140350877</v>
      </c>
      <c r="AI397" s="60"/>
      <c r="AJ397" s="60"/>
      <c r="AK397" s="60"/>
      <c r="AL397" s="60"/>
    </row>
    <row r="398" spans="1:38" x14ac:dyDescent="0.2">
      <c r="B398" s="60"/>
      <c r="C398" s="82" t="str">
        <f>IF($C$12="","Строительство ВЛ ","Реконструкция ВЛ ")&amp;"0,4 кВ"</f>
        <v>Строительство ВЛ 0,4 кВ</v>
      </c>
      <c r="D398" s="82"/>
      <c r="E398" s="588" t="s">
        <v>1072</v>
      </c>
      <c r="F398" s="588"/>
      <c r="G398" s="589">
        <f ca="1">SUM(S398:W398)</f>
        <v>0</v>
      </c>
      <c r="H398" s="589"/>
      <c r="I398" s="589"/>
      <c r="J398" s="589"/>
      <c r="K398" s="82"/>
      <c r="L398" s="82"/>
      <c r="M398" s="122">
        <f ca="1">IF(AND(Снижение!$D$21&gt;0,Снижение!$X$21&gt;0),Снижение!$X$21/Снижение!$D$21,1)</f>
        <v>1</v>
      </c>
      <c r="N398" s="123"/>
      <c r="O398" s="82"/>
      <c r="P398" s="105" t="str">
        <f>IF(N398&gt;0,ROUND(G398/N398,3),"")</f>
        <v/>
      </c>
      <c r="Q398" s="62" t="e">
        <f t="shared" ref="Q398:Q407" si="222">IF(AND(ISNUMBER(P398),R398&gt;0),ROUND(P398/R398%-100,3),"")</f>
        <v>#N/A</v>
      </c>
      <c r="R398" s="123" t="e">
        <f>INDEX(Удельники!$E$37:$E$44,MATCH(Снижение!$E$9,Удельники!$A$37:$A$44,0))</f>
        <v>#N/A</v>
      </c>
      <c r="S398" s="2">
        <f ca="1">S115*M398</f>
        <v>0</v>
      </c>
      <c r="T398" s="2">
        <f t="shared" ref="T398:V401" ca="1" si="223">T115*T$397</f>
        <v>0</v>
      </c>
      <c r="U398" s="79">
        <f t="shared" ca="1" si="223"/>
        <v>0</v>
      </c>
      <c r="V398" s="79">
        <f t="shared" ca="1" si="223"/>
        <v>0</v>
      </c>
      <c r="W398" s="79">
        <f ca="1">(W115+X398)*W$397</f>
        <v>0</v>
      </c>
      <c r="X398" s="89">
        <f ca="1">SUMIF($M$20:$M$21,"&lt;1",$R$20:$R$21)*(1+$S$109)</f>
        <v>0</v>
      </c>
      <c r="AI398" s="60"/>
      <c r="AJ398" s="60"/>
      <c r="AK398" s="60"/>
      <c r="AL398" s="60"/>
    </row>
    <row r="399" spans="1:38" x14ac:dyDescent="0.2">
      <c r="B399" s="60"/>
      <c r="C399" s="82" t="str">
        <f>IF($C$12="","Строительство ВЛ ","Реконструкция ВЛ ")&amp;"1-20 кВ и реклоузеров"</f>
        <v>Строительство ВЛ 1-20 кВ и реклоузеров</v>
      </c>
      <c r="D399" s="82"/>
      <c r="E399" s="588" t="s">
        <v>1072</v>
      </c>
      <c r="F399" s="588"/>
      <c r="G399" s="589">
        <f t="shared" ref="G399:G407" ca="1" si="224">SUM(S399:W399)</f>
        <v>0</v>
      </c>
      <c r="H399" s="589"/>
      <c r="I399" s="589"/>
      <c r="J399" s="589"/>
      <c r="K399" s="82"/>
      <c r="L399" s="82"/>
      <c r="M399" s="122">
        <f ca="1">IF(AND(Снижение!$D$21&gt;0,Снижение!$X$21&gt;0),Снижение!$X$21/Снижение!$D$21,1)</f>
        <v>1</v>
      </c>
      <c r="N399" s="123"/>
      <c r="O399" s="82"/>
      <c r="P399" s="105" t="str">
        <f t="shared" ref="P399:P405" si="225">IF(N399&gt;0,ROUND(G399/N399,3),"")</f>
        <v/>
      </c>
      <c r="Q399" s="62" t="e">
        <f t="shared" si="222"/>
        <v>#N/A</v>
      </c>
      <c r="R399" s="123" t="e">
        <f>INDEX(Удельники!$D$37:$D$44,MATCH(Снижение!$E$9,Удельники!$A$37:$A$44,0))</f>
        <v>#N/A</v>
      </c>
      <c r="S399" s="2">
        <f ca="1">S116*M399</f>
        <v>0</v>
      </c>
      <c r="T399" s="2">
        <f t="shared" ca="1" si="223"/>
        <v>0</v>
      </c>
      <c r="U399" s="79">
        <f t="shared" ca="1" si="223"/>
        <v>0</v>
      </c>
      <c r="V399" s="79">
        <f t="shared" ca="1" si="223"/>
        <v>0</v>
      </c>
      <c r="W399" s="79">
        <f ca="1">(W116+X399)*W$397</f>
        <v>0</v>
      </c>
      <c r="X399" s="89">
        <f ca="1">SUMIF($M$20:$M$21,"&lt;=10",$R$20:$R$21)*(1+$S$109)-X398</f>
        <v>0</v>
      </c>
      <c r="AI399" s="60"/>
      <c r="AJ399" s="60"/>
      <c r="AK399" s="60"/>
      <c r="AL399" s="60"/>
    </row>
    <row r="400" spans="1:38" x14ac:dyDescent="0.2">
      <c r="B400" s="60"/>
      <c r="C400" s="82" t="str">
        <f>IF($C$12="","Строительство ВЛ ","Реконструкция ВЛ ")&amp;"35 кВ"</f>
        <v>Строительство ВЛ 35 кВ</v>
      </c>
      <c r="D400" s="82"/>
      <c r="E400" s="588" t="s">
        <v>1072</v>
      </c>
      <c r="F400" s="588"/>
      <c r="G400" s="589">
        <f t="shared" ca="1" si="224"/>
        <v>0</v>
      </c>
      <c r="H400" s="589"/>
      <c r="I400" s="589"/>
      <c r="J400" s="589"/>
      <c r="K400" s="82"/>
      <c r="L400" s="82"/>
      <c r="M400" s="122">
        <f ca="1">IF(AND(Снижение!$D$22&gt;0,Снижение!$X$22&gt;0),Снижение!$X$22/Снижение!$D$22,1)</f>
        <v>1</v>
      </c>
      <c r="N400" s="123"/>
      <c r="O400" s="82"/>
      <c r="P400" s="105" t="str">
        <f t="shared" si="225"/>
        <v/>
      </c>
      <c r="Q400" s="62" t="e">
        <f t="shared" si="222"/>
        <v>#N/A</v>
      </c>
      <c r="R400" s="123" t="e">
        <f>INDEX(Удельники!$C$37:$C$44,MATCH(Снижение!$E$9,Удельники!$A$37:$A$44,0))</f>
        <v>#N/A</v>
      </c>
      <c r="S400" s="2">
        <f ca="1">S117*M400</f>
        <v>0</v>
      </c>
      <c r="T400" s="2">
        <f t="shared" ca="1" si="223"/>
        <v>0</v>
      </c>
      <c r="U400" s="79">
        <f t="shared" ca="1" si="223"/>
        <v>0</v>
      </c>
      <c r="V400" s="79">
        <f t="shared" ca="1" si="223"/>
        <v>0</v>
      </c>
      <c r="W400" s="79">
        <f ca="1">(W117+X400)*W$397</f>
        <v>0</v>
      </c>
      <c r="X400" s="89">
        <f ca="1">SUMIF($M$20:$M$21,"&lt;=35",$R$20:$R$21)*(1+$S$109)-X398-X399</f>
        <v>0</v>
      </c>
      <c r="AI400" s="60"/>
      <c r="AJ400" s="60"/>
      <c r="AK400" s="60"/>
      <c r="AL400" s="60"/>
    </row>
    <row r="401" spans="1:24" x14ac:dyDescent="0.2">
      <c r="B401" s="60"/>
      <c r="C401" s="82" t="str">
        <f>IF($C$12="","Строительство ВЛ ","Реконструкция ВЛ ")&amp;"110-220 кВ"</f>
        <v>Строительство ВЛ 110-220 кВ</v>
      </c>
      <c r="D401" s="82"/>
      <c r="E401" s="588" t="s">
        <v>1072</v>
      </c>
      <c r="F401" s="588"/>
      <c r="G401" s="589">
        <f t="shared" ca="1" si="224"/>
        <v>0</v>
      </c>
      <c r="H401" s="589"/>
      <c r="I401" s="589"/>
      <c r="J401" s="589"/>
      <c r="K401" s="82"/>
      <c r="L401" s="82"/>
      <c r="M401" s="122">
        <f ca="1">IF(AND(Снижение!$D$22&gt;0,Снижение!$X$22&gt;0),Снижение!$X$22/Снижение!$D$22,1)</f>
        <v>1</v>
      </c>
      <c r="N401" s="123"/>
      <c r="O401" s="82"/>
      <c r="P401" s="105" t="str">
        <f t="shared" si="225"/>
        <v/>
      </c>
      <c r="Q401" s="62" t="e">
        <f t="shared" si="222"/>
        <v>#N/A</v>
      </c>
      <c r="R401" s="123" t="e">
        <f>INDEX(Удельники!$B$37:$B$44,MATCH(Снижение!$E$9,Удельники!$A$37:$A$44,0))</f>
        <v>#N/A</v>
      </c>
      <c r="S401" s="2">
        <f ca="1">S118*M401</f>
        <v>0</v>
      </c>
      <c r="T401" s="2">
        <f t="shared" ca="1" si="223"/>
        <v>0</v>
      </c>
      <c r="U401" s="79">
        <f t="shared" ca="1" si="223"/>
        <v>0</v>
      </c>
      <c r="V401" s="79">
        <f t="shared" ca="1" si="223"/>
        <v>0</v>
      </c>
      <c r="W401" s="79">
        <f ca="1">(W118+X401)*W$397</f>
        <v>0</v>
      </c>
      <c r="X401" s="89">
        <f ca="1">SUM($R$20:$R$21)*(1+$S$109)-X398-X399-X400</f>
        <v>0</v>
      </c>
    </row>
    <row r="402" spans="1:24" x14ac:dyDescent="0.2">
      <c r="B402" s="60"/>
      <c r="C402" s="82" t="str">
        <f>IF($C$12="","Строительство КЛ ","Реконструкция КЛ ")&amp;"до 1 кВ"</f>
        <v>Строительство КЛ до 1 кВ</v>
      </c>
      <c r="D402" s="82"/>
      <c r="E402" s="588" t="s">
        <v>1072</v>
      </c>
      <c r="F402" s="588"/>
      <c r="G402" s="589">
        <f t="shared" ca="1" si="224"/>
        <v>0</v>
      </c>
      <c r="H402" s="589"/>
      <c r="I402" s="589"/>
      <c r="J402" s="589"/>
      <c r="K402" s="82"/>
      <c r="L402" s="82"/>
      <c r="M402" s="122">
        <f ca="1">IF(AND(Снижение!$D$24&gt;0,Снижение!$X$24&gt;0),Снижение!$X$24/Снижение!$D$24,1)</f>
        <v>1</v>
      </c>
      <c r="N402" s="123"/>
      <c r="O402" s="82"/>
      <c r="P402" s="105" t="str">
        <f t="shared" si="225"/>
        <v/>
      </c>
      <c r="Q402" s="62" t="e">
        <f t="shared" si="222"/>
        <v>#N/A</v>
      </c>
      <c r="R402" s="123" t="e">
        <f>INDEX(Удельники!$I$37:$I$44,MATCH(Снижение!$E$9,Удельники!$A$37:$A$44,0))</f>
        <v>#N/A</v>
      </c>
      <c r="S402" s="2">
        <f ca="1">S192*M402</f>
        <v>0</v>
      </c>
      <c r="T402" s="2">
        <f t="shared" ref="T402:V405" ca="1" si="226">T192*T$397</f>
        <v>0</v>
      </c>
      <c r="U402" s="79">
        <f t="shared" ca="1" si="226"/>
        <v>0</v>
      </c>
      <c r="V402" s="79">
        <f t="shared" ca="1" si="226"/>
        <v>0</v>
      </c>
      <c r="W402" s="79">
        <f ca="1">(W192+X402)*W$397</f>
        <v>0</v>
      </c>
      <c r="X402" s="89">
        <f ca="1">SUMIF($M$135:$M$136,"&lt;1",$R$135:$R$136)*(1+$S$187)</f>
        <v>0</v>
      </c>
    </row>
    <row r="403" spans="1:24" x14ac:dyDescent="0.2">
      <c r="B403" s="60"/>
      <c r="C403" s="82" t="str">
        <f>IF($C$12="","Строительство КЛ ","Реконструкция КЛ ")&amp;"3-10 кВ"</f>
        <v>Строительство КЛ 3-10 кВ</v>
      </c>
      <c r="D403" s="82"/>
      <c r="E403" s="588" t="s">
        <v>1072</v>
      </c>
      <c r="F403" s="588"/>
      <c r="G403" s="589">
        <f t="shared" ca="1" si="224"/>
        <v>0</v>
      </c>
      <c r="H403" s="589"/>
      <c r="I403" s="589"/>
      <c r="J403" s="589"/>
      <c r="K403" s="82"/>
      <c r="L403" s="82"/>
      <c r="M403" s="122">
        <f ca="1">IF(AND(Снижение!$D$24&gt;0,Снижение!$X$24&gt;0),Снижение!$X$24/Снижение!$D$24,1)</f>
        <v>1</v>
      </c>
      <c r="N403" s="123"/>
      <c r="O403" s="82"/>
      <c r="P403" s="105" t="str">
        <f t="shared" si="225"/>
        <v/>
      </c>
      <c r="Q403" s="62" t="e">
        <f t="shared" si="222"/>
        <v>#N/A</v>
      </c>
      <c r="R403" s="123" t="e">
        <f>INDEX(Удельники!$H$37:$H$44,MATCH(Снижение!$E$9,Удельники!$A$37:$A$44,0))</f>
        <v>#N/A</v>
      </c>
      <c r="S403" s="2">
        <f ca="1">S193*M403</f>
        <v>0</v>
      </c>
      <c r="T403" s="2">
        <f t="shared" ca="1" si="226"/>
        <v>0</v>
      </c>
      <c r="U403" s="79">
        <f t="shared" ca="1" si="226"/>
        <v>0</v>
      </c>
      <c r="V403" s="79">
        <f t="shared" ca="1" si="226"/>
        <v>0</v>
      </c>
      <c r="W403" s="79">
        <f ca="1">(W193+X403)*W$397</f>
        <v>0</v>
      </c>
      <c r="X403" s="89">
        <f ca="1">SUMIF($M$135:$M$136,"&lt;=10",$R$135:$R$136)*(1+$S$187)-X402</f>
        <v>0</v>
      </c>
    </row>
    <row r="404" spans="1:24" x14ac:dyDescent="0.2">
      <c r="B404" s="60"/>
      <c r="C404" s="82" t="str">
        <f>IF($C$12="","Строительство КЛ ","Реконструкция КЛ ")&amp;"20-35 кВ"</f>
        <v>Строительство КЛ 20-35 кВ</v>
      </c>
      <c r="D404" s="82"/>
      <c r="E404" s="588" t="s">
        <v>1072</v>
      </c>
      <c r="F404" s="588"/>
      <c r="G404" s="589">
        <f t="shared" ca="1" si="224"/>
        <v>0</v>
      </c>
      <c r="H404" s="589"/>
      <c r="I404" s="589"/>
      <c r="J404" s="589"/>
      <c r="K404" s="82"/>
      <c r="L404" s="82"/>
      <c r="M404" s="122">
        <f ca="1">IF(AND(Снижение!$D$25&gt;0,Снижение!$X$25&gt;0),Снижение!$X$25/Снижение!$D$25,1)</f>
        <v>1</v>
      </c>
      <c r="N404" s="123"/>
      <c r="O404" s="82"/>
      <c r="P404" s="105" t="str">
        <f t="shared" si="225"/>
        <v/>
      </c>
      <c r="Q404" s="62" t="e">
        <f t="shared" si="222"/>
        <v>#N/A</v>
      </c>
      <c r="R404" s="123" t="e">
        <f>INDEX(Удельники!$G$37:$G$44,MATCH(Снижение!$E$9,Удельники!$A$37:$A$44,0))</f>
        <v>#N/A</v>
      </c>
      <c r="S404" s="2">
        <f ca="1">S194*M404</f>
        <v>0</v>
      </c>
      <c r="T404" s="2">
        <f t="shared" ca="1" si="226"/>
        <v>0</v>
      </c>
      <c r="U404" s="79">
        <f t="shared" ca="1" si="226"/>
        <v>0</v>
      </c>
      <c r="V404" s="79">
        <f t="shared" ca="1" si="226"/>
        <v>0</v>
      </c>
      <c r="W404" s="79">
        <f ca="1">(W194+X404)*W$397</f>
        <v>0</v>
      </c>
      <c r="X404" s="89">
        <f ca="1">SUMIF($M$135:$M$136,"&lt;=35",$R$135:$R$136)*(1+$S$187)-X402-X403</f>
        <v>0</v>
      </c>
    </row>
    <row r="405" spans="1:24" x14ac:dyDescent="0.2">
      <c r="B405" s="60"/>
      <c r="C405" s="82" t="str">
        <f>IF($C$12="","Строительство КЛ ","Реконструкция КЛ ")&amp;"110-220 кВ"</f>
        <v>Строительство КЛ 110-220 кВ</v>
      </c>
      <c r="D405" s="82"/>
      <c r="E405" s="588" t="s">
        <v>1072</v>
      </c>
      <c r="F405" s="588"/>
      <c r="G405" s="589">
        <f t="shared" ca="1" si="224"/>
        <v>0</v>
      </c>
      <c r="H405" s="589"/>
      <c r="I405" s="589"/>
      <c r="J405" s="589"/>
      <c r="K405" s="82"/>
      <c r="L405" s="82"/>
      <c r="M405" s="122">
        <f ca="1">IF(AND(Снижение!$D$25&gt;0,Снижение!$X$25&gt;0),Снижение!$X$25/Снижение!$D$25,1)</f>
        <v>1</v>
      </c>
      <c r="N405" s="123"/>
      <c r="O405" s="82"/>
      <c r="P405" s="105" t="str">
        <f t="shared" si="225"/>
        <v/>
      </c>
      <c r="Q405" s="62" t="e">
        <f t="shared" si="222"/>
        <v>#N/A</v>
      </c>
      <c r="R405" s="123" t="e">
        <f>INDEX(Удельники!$F$37:$F$44,MATCH(Снижение!$E$9,Удельники!$A$37:$A$44,0))</f>
        <v>#N/A</v>
      </c>
      <c r="S405" s="2">
        <f ca="1">S195*M405</f>
        <v>0</v>
      </c>
      <c r="T405" s="2">
        <f t="shared" ca="1" si="226"/>
        <v>0</v>
      </c>
      <c r="U405" s="79">
        <f t="shared" ca="1" si="226"/>
        <v>0</v>
      </c>
      <c r="V405" s="79">
        <f t="shared" ca="1" si="226"/>
        <v>0</v>
      </c>
      <c r="W405" s="79">
        <f ca="1">(W195+X405)*W$397</f>
        <v>0</v>
      </c>
      <c r="X405" s="89">
        <f ca="1">SUM($R$135:$R$136)*(1+$S$187)-X402-X403-X404</f>
        <v>0</v>
      </c>
    </row>
    <row r="406" spans="1:24" x14ac:dyDescent="0.2">
      <c r="A406" s="126"/>
      <c r="B406" s="60"/>
      <c r="C406" s="82" t="s">
        <v>1353</v>
      </c>
      <c r="D406" s="82"/>
      <c r="E406" s="588" t="s">
        <v>1074</v>
      </c>
      <c r="F406" s="588"/>
      <c r="G406" s="589">
        <f t="shared" ca="1" si="224"/>
        <v>0</v>
      </c>
      <c r="H406" s="589"/>
      <c r="I406" s="589"/>
      <c r="J406" s="589"/>
      <c r="K406" s="123"/>
      <c r="L406" s="82"/>
      <c r="M406" s="122">
        <f ca="1">IF(Снижение!$D$23&gt;0,Снижение!$X$23/Снижение!$D$23,1)</f>
        <v>1</v>
      </c>
      <c r="N406" s="82"/>
      <c r="O406" s="82"/>
      <c r="P406" s="204" t="str">
        <f>IF(K406&gt;0,ROUND(G406/K406,3),"")</f>
        <v/>
      </c>
      <c r="Q406" s="62" t="e">
        <f>IF(AND(ISNUMBER(P406),R406&gt;0),ROUND(P406/R406%-100,3),"")</f>
        <v>#N/A</v>
      </c>
      <c r="R406" s="123" t="e">
        <f>INDEX(Удельники!$L$37:$L$44,MATCH(Снижение!$E$9,Удельники!$A$37:$A$44,0))</f>
        <v>#N/A</v>
      </c>
      <c r="S406" s="2">
        <f ca="1">S119*M406</f>
        <v>0</v>
      </c>
      <c r="T406" s="2">
        <f ca="1">T119*T$397</f>
        <v>0</v>
      </c>
      <c r="U406" s="79">
        <f ca="1">U119*U$397</f>
        <v>0</v>
      </c>
      <c r="V406" s="79">
        <f ca="1">V119*V$397</f>
        <v>0</v>
      </c>
      <c r="W406" s="79">
        <f ca="1">R127*W$397</f>
        <v>0</v>
      </c>
    </row>
    <row r="407" spans="1:24" x14ac:dyDescent="0.2">
      <c r="B407" s="60"/>
      <c r="C407" s="82" t="str">
        <f>IF($C$13="","Строительство ПС","Реконструкция ПС")</f>
        <v>Строительство ПС</v>
      </c>
      <c r="D407" s="82"/>
      <c r="E407" s="588" t="s">
        <v>1074</v>
      </c>
      <c r="F407" s="588"/>
      <c r="G407" s="589">
        <f t="shared" ca="1" si="224"/>
        <v>27228.054764628607</v>
      </c>
      <c r="H407" s="589"/>
      <c r="I407" s="589"/>
      <c r="J407" s="589"/>
      <c r="K407" s="123"/>
      <c r="L407" s="82"/>
      <c r="M407" s="122">
        <f ca="1">IF(AND(Снижение!$D$26&gt;0,Снижение!$X$26&gt;0),Снижение!$X$26/Снижение!$D$26,1)</f>
        <v>8.763384451571854</v>
      </c>
      <c r="N407" s="82"/>
      <c r="O407" s="82"/>
      <c r="P407" s="105" t="str">
        <f>IF(K407&gt;0,ROUND(G407/K407,3),"")</f>
        <v/>
      </c>
      <c r="Q407" s="62" t="e">
        <f t="shared" si="222"/>
        <v>#N/A</v>
      </c>
      <c r="R407" s="359" t="e">
        <f>IF(P13=35,INDEX(Удельники!$K$37:$K$44,MATCH(Снижение!$E$9,Удельники!$A$37:$A$44,0)),IF(P13=110,INDEX(Удельники!$J$37:$J$44,MATCH(Снижение!$E$9,Удельники!$A$37:$A$44,0)),0))</f>
        <v>#N/A</v>
      </c>
      <c r="S407" s="2">
        <f ca="1">(S310+S311+S312)*M407</f>
        <v>6616.4428947812657</v>
      </c>
      <c r="T407" s="2">
        <f ca="1">(T310+T311+T312)*T$397</f>
        <v>12569.356510645823</v>
      </c>
      <c r="U407" s="79">
        <f ca="1">(U310+U311+U312)*U$397</f>
        <v>2776.9304256106589</v>
      </c>
      <c r="V407" s="79">
        <f ca="1">(V310+V311+V312)*V$397</f>
        <v>1548.6865262443719</v>
      </c>
      <c r="W407" s="79">
        <f ca="1">R316*W$397</f>
        <v>3716.6384073464874</v>
      </c>
    </row>
    <row r="408" spans="1:24" x14ac:dyDescent="0.2">
      <c r="C408" s="60"/>
    </row>
    <row r="409" spans="1:24" x14ac:dyDescent="0.2">
      <c r="B409" s="243"/>
      <c r="C409" s="244"/>
      <c r="D409" s="243"/>
      <c r="E409" s="243"/>
      <c r="F409" s="245"/>
      <c r="G409" s="196"/>
    </row>
    <row r="410" spans="1:24" x14ac:dyDescent="0.2">
      <c r="B410" s="145"/>
      <c r="C410" s="5"/>
      <c r="D410" s="56"/>
      <c r="E410" s="310"/>
      <c r="F410" s="310"/>
      <c r="G410" s="310"/>
      <c r="H410" s="310"/>
      <c r="I410" s="310"/>
      <c r="J410" s="310"/>
      <c r="K410" s="56"/>
      <c r="L410" s="56"/>
      <c r="M410" s="56"/>
      <c r="N410" s="62"/>
      <c r="O410" s="62"/>
      <c r="P410" s="62"/>
      <c r="Q410" s="17"/>
      <c r="R410" s="62"/>
    </row>
    <row r="411" spans="1:24" x14ac:dyDescent="0.2">
      <c r="B411" s="145"/>
      <c r="C411" s="145"/>
      <c r="D411" s="145"/>
      <c r="E411" s="145"/>
      <c r="F411" s="145"/>
      <c r="G411" s="145"/>
      <c r="N411" s="60"/>
    </row>
    <row r="412" spans="1:24" x14ac:dyDescent="0.2">
      <c r="B412" s="243"/>
      <c r="C412" s="244"/>
      <c r="D412" s="243"/>
      <c r="E412" s="243"/>
      <c r="F412" s="245"/>
      <c r="G412" s="196"/>
    </row>
  </sheetData>
  <sheetProtection formatCells="0" formatColumns="0" formatRows="0" selectLockedCells="1"/>
  <protectedRanges>
    <protectedRange sqref="C377:R385" name="Диапазон1"/>
  </protectedRanges>
  <dataConsolidate/>
  <mergeCells count="170">
    <mergeCell ref="E375:F375"/>
    <mergeCell ref="E354:F354"/>
    <mergeCell ref="I353:J353"/>
    <mergeCell ref="I365:J365"/>
    <mergeCell ref="I363:J363"/>
    <mergeCell ref="G372:H372"/>
    <mergeCell ref="G373:H373"/>
    <mergeCell ref="G374:H374"/>
    <mergeCell ref="G375:H375"/>
    <mergeCell ref="I367:J367"/>
    <mergeCell ref="I370:J370"/>
    <mergeCell ref="I366:J366"/>
    <mergeCell ref="I368:J368"/>
    <mergeCell ref="I369:J369"/>
    <mergeCell ref="I371:J371"/>
    <mergeCell ref="I372:J372"/>
    <mergeCell ref="I373:J373"/>
    <mergeCell ref="I374:J374"/>
    <mergeCell ref="I375:J375"/>
    <mergeCell ref="G365:H365"/>
    <mergeCell ref="G366:H366"/>
    <mergeCell ref="G369:H369"/>
    <mergeCell ref="G370:H370"/>
    <mergeCell ref="G371:H371"/>
    <mergeCell ref="C352:C353"/>
    <mergeCell ref="E359:F359"/>
    <mergeCell ref="G354:H354"/>
    <mergeCell ref="G353:H353"/>
    <mergeCell ref="E353:F353"/>
    <mergeCell ref="G367:H367"/>
    <mergeCell ref="G368:H368"/>
    <mergeCell ref="G363:H363"/>
    <mergeCell ref="I356:J356"/>
    <mergeCell ref="E352:H352"/>
    <mergeCell ref="I352:N352"/>
    <mergeCell ref="I355:J355"/>
    <mergeCell ref="I358:J358"/>
    <mergeCell ref="I360:J360"/>
    <mergeCell ref="I359:J359"/>
    <mergeCell ref="I361:J361"/>
    <mergeCell ref="I364:J364"/>
    <mergeCell ref="I354:J354"/>
    <mergeCell ref="E355:F355"/>
    <mergeCell ref="E356:F356"/>
    <mergeCell ref="E357:F357"/>
    <mergeCell ref="E358:F358"/>
    <mergeCell ref="E362:F362"/>
    <mergeCell ref="I357:J357"/>
    <mergeCell ref="C6:R6"/>
    <mergeCell ref="P11:Q11"/>
    <mergeCell ref="I329:J329"/>
    <mergeCell ref="E326:H326"/>
    <mergeCell ref="I326:N326"/>
    <mergeCell ref="P326:R326"/>
    <mergeCell ref="I325:R325"/>
    <mergeCell ref="C326:C327"/>
    <mergeCell ref="R15:R16"/>
    <mergeCell ref="N15:P15"/>
    <mergeCell ref="J15:K15"/>
    <mergeCell ref="N130:P130"/>
    <mergeCell ref="Q130:Q131"/>
    <mergeCell ref="R130:R131"/>
    <mergeCell ref="N202:P202"/>
    <mergeCell ref="Q202:Q203"/>
    <mergeCell ref="R202:R203"/>
    <mergeCell ref="C8:D8"/>
    <mergeCell ref="C9:D9"/>
    <mergeCell ref="D202:D203"/>
    <mergeCell ref="I327:J327"/>
    <mergeCell ref="C202:C203"/>
    <mergeCell ref="E202:I202"/>
    <mergeCell ref="J202:K202"/>
    <mergeCell ref="A202:A203"/>
    <mergeCell ref="B202:B203"/>
    <mergeCell ref="I341:J341"/>
    <mergeCell ref="I344:J344"/>
    <mergeCell ref="I328:J328"/>
    <mergeCell ref="I332:J332"/>
    <mergeCell ref="I334:J334"/>
    <mergeCell ref="I330:J330"/>
    <mergeCell ref="I331:J331"/>
    <mergeCell ref="I336:J336"/>
    <mergeCell ref="I339:J339"/>
    <mergeCell ref="E327:F327"/>
    <mergeCell ref="G327:H327"/>
    <mergeCell ref="D225:F225"/>
    <mergeCell ref="I340:J340"/>
    <mergeCell ref="I337:J337"/>
    <mergeCell ref="A15:A16"/>
    <mergeCell ref="B15:B16"/>
    <mergeCell ref="C15:C16"/>
    <mergeCell ref="Q15:Q16"/>
    <mergeCell ref="E15:I15"/>
    <mergeCell ref="A130:A131"/>
    <mergeCell ref="B130:B131"/>
    <mergeCell ref="C130:C131"/>
    <mergeCell ref="E130:I130"/>
    <mergeCell ref="J130:K130"/>
    <mergeCell ref="D15:D16"/>
    <mergeCell ref="D130:D131"/>
    <mergeCell ref="E407:F407"/>
    <mergeCell ref="G407:J407"/>
    <mergeCell ref="E406:F406"/>
    <mergeCell ref="G406:J406"/>
    <mergeCell ref="P396:P397"/>
    <mergeCell ref="K396:N396"/>
    <mergeCell ref="C396:C397"/>
    <mergeCell ref="E396:F397"/>
    <mergeCell ref="G396:J397"/>
    <mergeCell ref="G400:J400"/>
    <mergeCell ref="G401:J401"/>
    <mergeCell ref="G402:J402"/>
    <mergeCell ref="G403:J403"/>
    <mergeCell ref="E400:F400"/>
    <mergeCell ref="E401:F401"/>
    <mergeCell ref="E402:F402"/>
    <mergeCell ref="E403:F403"/>
    <mergeCell ref="E398:F398"/>
    <mergeCell ref="E399:F399"/>
    <mergeCell ref="G398:J398"/>
    <mergeCell ref="G399:J399"/>
    <mergeCell ref="D396:D397"/>
    <mergeCell ref="R396:R397"/>
    <mergeCell ref="Q396:Q397"/>
    <mergeCell ref="G362:H362"/>
    <mergeCell ref="G360:H360"/>
    <mergeCell ref="G359:H359"/>
    <mergeCell ref="G361:H361"/>
    <mergeCell ref="G364:H364"/>
    <mergeCell ref="E404:F404"/>
    <mergeCell ref="E405:F405"/>
    <mergeCell ref="G404:J404"/>
    <mergeCell ref="G405:J405"/>
    <mergeCell ref="E372:F372"/>
    <mergeCell ref="E373:F373"/>
    <mergeCell ref="E374:F374"/>
    <mergeCell ref="E366:F366"/>
    <mergeCell ref="E367:F367"/>
    <mergeCell ref="E368:F368"/>
    <mergeCell ref="E369:F369"/>
    <mergeCell ref="E370:F370"/>
    <mergeCell ref="E360:F360"/>
    <mergeCell ref="E361:F361"/>
    <mergeCell ref="E364:F364"/>
    <mergeCell ref="E365:F365"/>
    <mergeCell ref="E363:F363"/>
    <mergeCell ref="Q319:R319"/>
    <mergeCell ref="Q322:R322"/>
    <mergeCell ref="Q323:R323"/>
    <mergeCell ref="P320:R321"/>
    <mergeCell ref="D391:E391"/>
    <mergeCell ref="I391:J391"/>
    <mergeCell ref="I351:R351"/>
    <mergeCell ref="P352:R352"/>
    <mergeCell ref="I362:J362"/>
    <mergeCell ref="G355:H355"/>
    <mergeCell ref="G356:H356"/>
    <mergeCell ref="G357:H357"/>
    <mergeCell ref="G358:H358"/>
    <mergeCell ref="I345:J345"/>
    <mergeCell ref="I346:J346"/>
    <mergeCell ref="I349:J349"/>
    <mergeCell ref="I333:J333"/>
    <mergeCell ref="I335:J335"/>
    <mergeCell ref="I338:J338"/>
    <mergeCell ref="I342:J342"/>
    <mergeCell ref="I343:J343"/>
    <mergeCell ref="I347:J347"/>
    <mergeCell ref="I348:J348"/>
    <mergeCell ref="E371:F371"/>
  </mergeCells>
  <conditionalFormatting sqref="C25 C78:C87 C237:C239 C284:C289 C50:C54 C218 C221:C223 C214:C216 C45:C48 C135:C136">
    <cfRule type="expression" dxfId="652" priority="1216">
      <formula>($C25="")</formula>
    </cfRule>
  </conditionalFormatting>
  <conditionalFormatting sqref="C24">
    <cfRule type="expression" dxfId="651" priority="1212">
      <formula>($C24="")</formula>
    </cfRule>
  </conditionalFormatting>
  <conditionalFormatting sqref="K25 K50:K54 K406 K216 K45:K48 K135:K136">
    <cfRule type="expression" dxfId="650" priority="1207">
      <formula>($K25="")</formula>
    </cfRule>
  </conditionalFormatting>
  <conditionalFormatting sqref="K26">
    <cfRule type="expression" dxfId="649" priority="1206">
      <formula>($K26="")</formula>
    </cfRule>
  </conditionalFormatting>
  <conditionalFormatting sqref="C20:C22">
    <cfRule type="expression" dxfId="648" priority="1205">
      <formula>($C20="")</formula>
    </cfRule>
  </conditionalFormatting>
  <conditionalFormatting sqref="C62">
    <cfRule type="expression" dxfId="647" priority="1191">
      <formula>($C62="")</formula>
    </cfRule>
  </conditionalFormatting>
  <conditionalFormatting sqref="C69:C73">
    <cfRule type="expression" dxfId="646" priority="1184">
      <formula>($C69="")</formula>
    </cfRule>
  </conditionalFormatting>
  <conditionalFormatting sqref="K69:K73">
    <cfRule type="expression" dxfId="645" priority="1182">
      <formula>($K69="")</formula>
    </cfRule>
  </conditionalFormatting>
  <conditionalFormatting sqref="K61">
    <cfRule type="expression" dxfId="644" priority="1180">
      <formula>($K61="")</formula>
    </cfRule>
  </conditionalFormatting>
  <conditionalFormatting sqref="C76">
    <cfRule type="expression" dxfId="643" priority="1178">
      <formula>($C76="")</formula>
    </cfRule>
  </conditionalFormatting>
  <conditionalFormatting sqref="K76">
    <cfRule type="expression" dxfId="642" priority="1176">
      <formula>($K76="")</formula>
    </cfRule>
  </conditionalFormatting>
  <conditionalFormatting sqref="C89:D89">
    <cfRule type="expression" dxfId="641" priority="1173">
      <formula>($C89="")</formula>
    </cfRule>
  </conditionalFormatting>
  <conditionalFormatting sqref="K89">
    <cfRule type="expression" dxfId="640" priority="1171">
      <formula>($K89="")</formula>
    </cfRule>
  </conditionalFormatting>
  <conditionalFormatting sqref="K89">
    <cfRule type="expression" dxfId="639" priority="1170">
      <formula>($K89="")</formula>
    </cfRule>
  </conditionalFormatting>
  <conditionalFormatting sqref="K89">
    <cfRule type="expression" dxfId="638" priority="1169">
      <formula>($K89="")</formula>
    </cfRule>
  </conditionalFormatting>
  <conditionalFormatting sqref="C61">
    <cfRule type="expression" dxfId="637" priority="1168">
      <formula>($C61="")</formula>
    </cfRule>
  </conditionalFormatting>
  <conditionalFormatting sqref="K62">
    <cfRule type="expression" dxfId="636" priority="1167">
      <formula>($K62="")</formula>
    </cfRule>
  </conditionalFormatting>
  <conditionalFormatting sqref="K63">
    <cfRule type="expression" dxfId="635" priority="1166">
      <formula>($K63="")</formula>
    </cfRule>
  </conditionalFormatting>
  <conditionalFormatting sqref="K64">
    <cfRule type="expression" dxfId="634" priority="1165">
      <formula>($K64="")</formula>
    </cfRule>
  </conditionalFormatting>
  <conditionalFormatting sqref="C63">
    <cfRule type="expression" dxfId="633" priority="1164">
      <formula>($C63="")</formula>
    </cfRule>
  </conditionalFormatting>
  <conditionalFormatting sqref="C26">
    <cfRule type="expression" dxfId="632" priority="1161">
      <formula>($C26="")</formula>
    </cfRule>
  </conditionalFormatting>
  <conditionalFormatting sqref="C27">
    <cfRule type="expression" dxfId="631" priority="1160">
      <formula>($C27="")</formula>
    </cfRule>
  </conditionalFormatting>
  <conditionalFormatting sqref="C28:C36">
    <cfRule type="expression" dxfId="630" priority="1159">
      <formula>($C28="")</formula>
    </cfRule>
  </conditionalFormatting>
  <conditionalFormatting sqref="C37">
    <cfRule type="expression" dxfId="629" priority="1158">
      <formula>($C37="")</formula>
    </cfRule>
  </conditionalFormatting>
  <conditionalFormatting sqref="C38">
    <cfRule type="expression" dxfId="628" priority="1157">
      <formula>($C38="")</formula>
    </cfRule>
  </conditionalFormatting>
  <conditionalFormatting sqref="C39">
    <cfRule type="expression" dxfId="627" priority="1156">
      <formula>($C39="")</formula>
    </cfRule>
  </conditionalFormatting>
  <conditionalFormatting sqref="C40">
    <cfRule type="expression" dxfId="626" priority="1155">
      <formula>($C40="")</formula>
    </cfRule>
  </conditionalFormatting>
  <conditionalFormatting sqref="C41">
    <cfRule type="expression" dxfId="625" priority="1154">
      <formula>($C41="")</formula>
    </cfRule>
  </conditionalFormatting>
  <conditionalFormatting sqref="C42">
    <cfRule type="expression" dxfId="624" priority="1153">
      <formula>($C42="")</formula>
    </cfRule>
  </conditionalFormatting>
  <conditionalFormatting sqref="C43">
    <cfRule type="expression" dxfId="623" priority="1152">
      <formula>($C43="")</formula>
    </cfRule>
  </conditionalFormatting>
  <conditionalFormatting sqref="K27">
    <cfRule type="expression" dxfId="622" priority="1151">
      <formula>($K27="")</formula>
    </cfRule>
  </conditionalFormatting>
  <conditionalFormatting sqref="K28:K36">
    <cfRule type="expression" dxfId="621" priority="1150">
      <formula>($K28="")</formula>
    </cfRule>
  </conditionalFormatting>
  <conditionalFormatting sqref="K37">
    <cfRule type="expression" dxfId="620" priority="1149">
      <formula>($K37="")</formula>
    </cfRule>
  </conditionalFormatting>
  <conditionalFormatting sqref="K38">
    <cfRule type="expression" dxfId="619" priority="1148">
      <formula>($K38="")</formula>
    </cfRule>
  </conditionalFormatting>
  <conditionalFormatting sqref="K39">
    <cfRule type="expression" dxfId="618" priority="1147">
      <formula>($K39="")</formula>
    </cfRule>
  </conditionalFormatting>
  <conditionalFormatting sqref="K40">
    <cfRule type="expression" dxfId="617" priority="1146">
      <formula>($K40="")</formula>
    </cfRule>
  </conditionalFormatting>
  <conditionalFormatting sqref="K41">
    <cfRule type="expression" dxfId="616" priority="1145">
      <formula>($K41="")</formula>
    </cfRule>
  </conditionalFormatting>
  <conditionalFormatting sqref="K42">
    <cfRule type="expression" dxfId="615" priority="1144">
      <formula>($K42="")</formula>
    </cfRule>
  </conditionalFormatting>
  <conditionalFormatting sqref="K43">
    <cfRule type="expression" dxfId="614" priority="1143">
      <formula>($K43="")</formula>
    </cfRule>
  </conditionalFormatting>
  <conditionalFormatting sqref="C64">
    <cfRule type="expression" dxfId="613" priority="1142">
      <formula>($C64="")</formula>
    </cfRule>
  </conditionalFormatting>
  <conditionalFormatting sqref="C65">
    <cfRule type="expression" dxfId="612" priority="1141">
      <formula>($C65="")</formula>
    </cfRule>
  </conditionalFormatting>
  <conditionalFormatting sqref="C66">
    <cfRule type="expression" dxfId="611" priority="1140">
      <formula>($C66="")</formula>
    </cfRule>
  </conditionalFormatting>
  <conditionalFormatting sqref="K65">
    <cfRule type="expression" dxfId="610" priority="1139">
      <formula>($K65="")</formula>
    </cfRule>
  </conditionalFormatting>
  <conditionalFormatting sqref="K66">
    <cfRule type="expression" dxfId="609" priority="1138">
      <formula>($K66="")</formula>
    </cfRule>
  </conditionalFormatting>
  <conditionalFormatting sqref="E24 E78:E86 E50:E54 E45:E48 E135:E136">
    <cfRule type="expression" dxfId="608" priority="1137">
      <formula>($E24="")</formula>
    </cfRule>
  </conditionalFormatting>
  <conditionalFormatting sqref="F24 F78:F86 F50:F54 F45:F48 F135:F136">
    <cfRule type="expression" dxfId="607" priority="1136">
      <formula>($F24="")</formula>
    </cfRule>
  </conditionalFormatting>
  <conditionalFormatting sqref="G24 G50:G54 G216 G45:G48">
    <cfRule type="expression" dxfId="606" priority="1135">
      <formula>($G24="")</formula>
    </cfRule>
  </conditionalFormatting>
  <conditionalFormatting sqref="H24 H78:H86">
    <cfRule type="expression" dxfId="605" priority="1134">
      <formula>($H24="")</formula>
    </cfRule>
  </conditionalFormatting>
  <conditionalFormatting sqref="F25">
    <cfRule type="expression" dxfId="604" priority="1122">
      <formula>($F25="")</formula>
    </cfRule>
  </conditionalFormatting>
  <conditionalFormatting sqref="F26">
    <cfRule type="expression" dxfId="603" priority="1121">
      <formula>($F26="")</formula>
    </cfRule>
  </conditionalFormatting>
  <conditionalFormatting sqref="F27">
    <cfRule type="expression" dxfId="602" priority="1120">
      <formula>($F27="")</formula>
    </cfRule>
  </conditionalFormatting>
  <conditionalFormatting sqref="F28:F36">
    <cfRule type="expression" dxfId="601" priority="1119">
      <formula>($F28="")</formula>
    </cfRule>
  </conditionalFormatting>
  <conditionalFormatting sqref="F37">
    <cfRule type="expression" dxfId="600" priority="1118">
      <formula>($F37="")</formula>
    </cfRule>
  </conditionalFormatting>
  <conditionalFormatting sqref="F38">
    <cfRule type="expression" dxfId="599" priority="1117">
      <formula>($F38="")</formula>
    </cfRule>
  </conditionalFormatting>
  <conditionalFormatting sqref="F39">
    <cfRule type="expression" dxfId="598" priority="1116">
      <formula>($F39="")</formula>
    </cfRule>
  </conditionalFormatting>
  <conditionalFormatting sqref="F40">
    <cfRule type="expression" dxfId="597" priority="1115">
      <formula>($F40="")</formula>
    </cfRule>
  </conditionalFormatting>
  <conditionalFormatting sqref="F41">
    <cfRule type="expression" dxfId="596" priority="1114">
      <formula>($F41="")</formula>
    </cfRule>
  </conditionalFormatting>
  <conditionalFormatting sqref="F42">
    <cfRule type="expression" dxfId="595" priority="1113">
      <formula>($F42="")</formula>
    </cfRule>
  </conditionalFormatting>
  <conditionalFormatting sqref="F43">
    <cfRule type="expression" dxfId="594" priority="1112">
      <formula>($F43="")</formula>
    </cfRule>
  </conditionalFormatting>
  <conditionalFormatting sqref="G25">
    <cfRule type="expression" dxfId="593" priority="1111">
      <formula>($G25="")</formula>
    </cfRule>
  </conditionalFormatting>
  <conditionalFormatting sqref="G26">
    <cfRule type="expression" dxfId="592" priority="1110">
      <formula>($G26="")</formula>
    </cfRule>
  </conditionalFormatting>
  <conditionalFormatting sqref="G27">
    <cfRule type="expression" dxfId="591" priority="1109">
      <formula>($G27="")</formula>
    </cfRule>
  </conditionalFormatting>
  <conditionalFormatting sqref="G28:G36">
    <cfRule type="expression" dxfId="590" priority="1108">
      <formula>($G28="")</formula>
    </cfRule>
  </conditionalFormatting>
  <conditionalFormatting sqref="G37">
    <cfRule type="expression" dxfId="589" priority="1107">
      <formula>($G37="")</formula>
    </cfRule>
  </conditionalFormatting>
  <conditionalFormatting sqref="G38">
    <cfRule type="expression" dxfId="588" priority="1106">
      <formula>($G38="")</formula>
    </cfRule>
  </conditionalFormatting>
  <conditionalFormatting sqref="G39">
    <cfRule type="expression" dxfId="587" priority="1105">
      <formula>($G39="")</formula>
    </cfRule>
  </conditionalFormatting>
  <conditionalFormatting sqref="G40">
    <cfRule type="expression" dxfId="586" priority="1104">
      <formula>($G40="")</formula>
    </cfRule>
  </conditionalFormatting>
  <conditionalFormatting sqref="G41">
    <cfRule type="expression" dxfId="585" priority="1103">
      <formula>($G41="")</formula>
    </cfRule>
  </conditionalFormatting>
  <conditionalFormatting sqref="G42">
    <cfRule type="expression" dxfId="584" priority="1102">
      <formula>($G42="")</formula>
    </cfRule>
  </conditionalFormatting>
  <conditionalFormatting sqref="G43">
    <cfRule type="expression" dxfId="583" priority="1101">
      <formula>($G43="")</formula>
    </cfRule>
  </conditionalFormatting>
  <conditionalFormatting sqref="H25">
    <cfRule type="expression" dxfId="582" priority="1100">
      <formula>($H25="")</formula>
    </cfRule>
  </conditionalFormatting>
  <conditionalFormatting sqref="H26">
    <cfRule type="expression" dxfId="581" priority="1099">
      <formula>($H26="")</formula>
    </cfRule>
  </conditionalFormatting>
  <conditionalFormatting sqref="H27">
    <cfRule type="expression" dxfId="580" priority="1098">
      <formula>($H27="")</formula>
    </cfRule>
  </conditionalFormatting>
  <conditionalFormatting sqref="H28:H36">
    <cfRule type="expression" dxfId="579" priority="1097">
      <formula>($H28="")</formula>
    </cfRule>
  </conditionalFormatting>
  <conditionalFormatting sqref="H37">
    <cfRule type="expression" dxfId="578" priority="1096">
      <formula>($H37="")</formula>
    </cfRule>
  </conditionalFormatting>
  <conditionalFormatting sqref="H38">
    <cfRule type="expression" dxfId="577" priority="1095">
      <formula>($H38="")</formula>
    </cfRule>
  </conditionalFormatting>
  <conditionalFormatting sqref="H39">
    <cfRule type="expression" dxfId="576" priority="1094">
      <formula>($H39="")</formula>
    </cfRule>
  </conditionalFormatting>
  <conditionalFormatting sqref="H40">
    <cfRule type="expression" dxfId="575" priority="1093">
      <formula>($H40="")</formula>
    </cfRule>
  </conditionalFormatting>
  <conditionalFormatting sqref="H41">
    <cfRule type="expression" dxfId="574" priority="1092">
      <formula>($H41="")</formula>
    </cfRule>
  </conditionalFormatting>
  <conditionalFormatting sqref="H42">
    <cfRule type="expression" dxfId="573" priority="1091">
      <formula>($H42="")</formula>
    </cfRule>
  </conditionalFormatting>
  <conditionalFormatting sqref="H43">
    <cfRule type="expression" dxfId="572" priority="1090">
      <formula>($H43="")</formula>
    </cfRule>
  </conditionalFormatting>
  <conditionalFormatting sqref="F61">
    <cfRule type="expression" dxfId="571" priority="1079">
      <formula>($F61="")</formula>
    </cfRule>
  </conditionalFormatting>
  <conditionalFormatting sqref="G61">
    <cfRule type="expression" dxfId="570" priority="1078">
      <formula>($G61="")</formula>
    </cfRule>
  </conditionalFormatting>
  <conditionalFormatting sqref="F62">
    <cfRule type="expression" dxfId="569" priority="1076">
      <formula>($F62="")</formula>
    </cfRule>
  </conditionalFormatting>
  <conditionalFormatting sqref="G62">
    <cfRule type="expression" dxfId="568" priority="1075">
      <formula>($G62="")</formula>
    </cfRule>
  </conditionalFormatting>
  <conditionalFormatting sqref="F63">
    <cfRule type="expression" dxfId="567" priority="1073">
      <formula>($F63="")</formula>
    </cfRule>
  </conditionalFormatting>
  <conditionalFormatting sqref="G63">
    <cfRule type="expression" dxfId="566" priority="1072">
      <formula>($G63="")</formula>
    </cfRule>
  </conditionalFormatting>
  <conditionalFormatting sqref="F64">
    <cfRule type="expression" dxfId="565" priority="1070">
      <formula>($F64="")</formula>
    </cfRule>
  </conditionalFormatting>
  <conditionalFormatting sqref="G64">
    <cfRule type="expression" dxfId="564" priority="1069">
      <formula>($G64="")</formula>
    </cfRule>
  </conditionalFormatting>
  <conditionalFormatting sqref="F69:F73">
    <cfRule type="expression" dxfId="563" priority="1062">
      <formula>($F69="")</formula>
    </cfRule>
  </conditionalFormatting>
  <conditionalFormatting sqref="F76">
    <cfRule type="expression" dxfId="562" priority="1059">
      <formula>($F76="")</formula>
    </cfRule>
  </conditionalFormatting>
  <conditionalFormatting sqref="G76">
    <cfRule type="expression" dxfId="561" priority="1058">
      <formula>($G76="")</formula>
    </cfRule>
  </conditionalFormatting>
  <conditionalFormatting sqref="H76">
    <cfRule type="expression" dxfId="560" priority="1057">
      <formula>($H76="")</formula>
    </cfRule>
  </conditionalFormatting>
  <conditionalFormatting sqref="G89">
    <cfRule type="expression" dxfId="559" priority="1054">
      <formula>($G89="")</formula>
    </cfRule>
  </conditionalFormatting>
  <conditionalFormatting sqref="H89">
    <cfRule type="expression" dxfId="558" priority="1053">
      <formula>($H89="")</formula>
    </cfRule>
  </conditionalFormatting>
  <conditionalFormatting sqref="P89">
    <cfRule type="expression" dxfId="557" priority="1028">
      <formula>$P89=""</formula>
    </cfRule>
  </conditionalFormatting>
  <conditionalFormatting sqref="F65">
    <cfRule type="expression" dxfId="556" priority="1026">
      <formula>($F65="")</formula>
    </cfRule>
  </conditionalFormatting>
  <conditionalFormatting sqref="G65">
    <cfRule type="expression" dxfId="555" priority="1025">
      <formula>($G65="")</formula>
    </cfRule>
  </conditionalFormatting>
  <conditionalFormatting sqref="F66">
    <cfRule type="expression" dxfId="554" priority="1023">
      <formula>($F66="")</formula>
    </cfRule>
  </conditionalFormatting>
  <conditionalFormatting sqref="G66">
    <cfRule type="expression" dxfId="553" priority="1022">
      <formula>($G66="")</formula>
    </cfRule>
  </conditionalFormatting>
  <conditionalFormatting sqref="C283 Q294:Q296 Q237:Q239 Q255:Q292 Q24:Q43 Q161:Q172 Q218 Q215:Q216 Q221:Q223">
    <cfRule type="expression" dxfId="552" priority="1218">
      <formula>($Q24="V")</formula>
    </cfRule>
  </conditionalFormatting>
  <conditionalFormatting sqref="Q89 Q61:Q67 Q294:Q296 Q76:Q87 Q273:Q292 Q25:Q43 Q50:Q54 Q218 Q214:Q216 Q45:Q48 Q221:Q224 Q20:Q22 Q69:Q73 B69:B73">
    <cfRule type="expression" dxfId="551" priority="1219">
      <formula>($Q20="√")</formula>
    </cfRule>
  </conditionalFormatting>
  <conditionalFormatting sqref="C12">
    <cfRule type="expression" dxfId="550" priority="1021">
      <formula>($C12="")</formula>
    </cfRule>
  </conditionalFormatting>
  <conditionalFormatting sqref="C11">
    <cfRule type="expression" dxfId="549" priority="1020">
      <formula>($C11="")</formula>
    </cfRule>
  </conditionalFormatting>
  <conditionalFormatting sqref="C67">
    <cfRule type="expression" dxfId="548" priority="1012">
      <formula>($C67="")</formula>
    </cfRule>
  </conditionalFormatting>
  <conditionalFormatting sqref="K67">
    <cfRule type="expression" dxfId="547" priority="1011">
      <formula>($K67="")</formula>
    </cfRule>
  </conditionalFormatting>
  <conditionalFormatting sqref="F67">
    <cfRule type="expression" dxfId="546" priority="1008">
      <formula>($F67="")</formula>
    </cfRule>
  </conditionalFormatting>
  <conditionalFormatting sqref="G67">
    <cfRule type="expression" dxfId="545" priority="1007">
      <formula>($G67="")</formula>
    </cfRule>
  </conditionalFormatting>
  <conditionalFormatting sqref="C6:R6">
    <cfRule type="expression" dxfId="544" priority="1006">
      <formula>($C6="")</formula>
    </cfRule>
  </conditionalFormatting>
  <conditionalFormatting sqref="M69:M73">
    <cfRule type="expression" dxfId="543" priority="1005">
      <formula>($Q69="√")</formula>
    </cfRule>
  </conditionalFormatting>
  <conditionalFormatting sqref="C8 D8">
    <cfRule type="expression" dxfId="542" priority="1004">
      <formula>($C8="")</formula>
    </cfRule>
  </conditionalFormatting>
  <conditionalFormatting sqref="C9 D9">
    <cfRule type="expression" dxfId="541" priority="1003">
      <formula>($C9="")</formula>
    </cfRule>
  </conditionalFormatting>
  <conditionalFormatting sqref="L69:L73">
    <cfRule type="expression" dxfId="540" priority="1002">
      <formula>($Q69="√")</formula>
    </cfRule>
  </conditionalFormatting>
  <conditionalFormatting sqref="K20:K22">
    <cfRule type="expression" dxfId="539" priority="999">
      <formula>($K20="")</formula>
    </cfRule>
  </conditionalFormatting>
  <conditionalFormatting sqref="G11">
    <cfRule type="expression" dxfId="538" priority="998">
      <formula>($G11="")</formula>
    </cfRule>
  </conditionalFormatting>
  <conditionalFormatting sqref="G12">
    <cfRule type="expression" dxfId="537" priority="997">
      <formula>($G12="")</formula>
    </cfRule>
  </conditionalFormatting>
  <conditionalFormatting sqref="Q138:Q158">
    <cfRule type="expression" dxfId="536" priority="987">
      <formula>($Q138="V")</formula>
    </cfRule>
  </conditionalFormatting>
  <conditionalFormatting sqref="C162:C165">
    <cfRule type="expression" dxfId="535" priority="984">
      <formula>($C162="")</formula>
    </cfRule>
  </conditionalFormatting>
  <conditionalFormatting sqref="K162:K165">
    <cfRule type="expression" dxfId="534" priority="983">
      <formula>($K162="")</formula>
    </cfRule>
  </conditionalFormatting>
  <conditionalFormatting sqref="Q162:Q165">
    <cfRule type="expression" dxfId="533" priority="978">
      <formula>($Q162="√")</formula>
    </cfRule>
  </conditionalFormatting>
  <conditionalFormatting sqref="C166">
    <cfRule type="expression" dxfId="532" priority="977">
      <formula>($C166="")</formula>
    </cfRule>
  </conditionalFormatting>
  <conditionalFormatting sqref="K166">
    <cfRule type="expression" dxfId="531" priority="976">
      <formula>($K166="")</formula>
    </cfRule>
  </conditionalFormatting>
  <conditionalFormatting sqref="Q166:Q172">
    <cfRule type="expression" dxfId="530" priority="971">
      <formula>($Q166="√")</formula>
    </cfRule>
  </conditionalFormatting>
  <conditionalFormatting sqref="K154:K157">
    <cfRule type="expression" dxfId="529" priority="970">
      <formula>($K154="")</formula>
    </cfRule>
  </conditionalFormatting>
  <conditionalFormatting sqref="C154:C157">
    <cfRule type="expression" dxfId="528" priority="969">
      <formula>($C154="")</formula>
    </cfRule>
  </conditionalFormatting>
  <conditionalFormatting sqref="C158">
    <cfRule type="expression" dxfId="527" priority="968">
      <formula>($C158="")</formula>
    </cfRule>
  </conditionalFormatting>
  <conditionalFormatting sqref="K158">
    <cfRule type="expression" dxfId="526" priority="967">
      <formula>($K158="")</formula>
    </cfRule>
  </conditionalFormatting>
  <conditionalFormatting sqref="Q154:Q158">
    <cfRule type="expression" dxfId="525" priority="958">
      <formula>($Q154="√")</formula>
    </cfRule>
  </conditionalFormatting>
  <conditionalFormatting sqref="K168:K171">
    <cfRule type="expression" dxfId="524" priority="957">
      <formula>($K168="")</formula>
    </cfRule>
  </conditionalFormatting>
  <conditionalFormatting sqref="C168:C171">
    <cfRule type="expression" dxfId="523" priority="956">
      <formula>($C168="")</formula>
    </cfRule>
  </conditionalFormatting>
  <conditionalFormatting sqref="C172">
    <cfRule type="expression" dxfId="522" priority="955">
      <formula>($C172="")</formula>
    </cfRule>
  </conditionalFormatting>
  <conditionalFormatting sqref="K172">
    <cfRule type="expression" dxfId="521" priority="954">
      <formula>($K172="")</formula>
    </cfRule>
  </conditionalFormatting>
  <conditionalFormatting sqref="Q168:Q172">
    <cfRule type="expression" dxfId="520" priority="945">
      <formula>($Q168="√")</formula>
    </cfRule>
  </conditionalFormatting>
  <conditionalFormatting sqref="K255">
    <cfRule type="expression" dxfId="519" priority="944">
      <formula>($K255="")</formula>
    </cfRule>
  </conditionalFormatting>
  <conditionalFormatting sqref="G255">
    <cfRule type="expression" dxfId="518" priority="940">
      <formula>($G255="")</formula>
    </cfRule>
  </conditionalFormatting>
  <conditionalFormatting sqref="C272">
    <cfRule type="expression" dxfId="517" priority="936">
      <formula>($C272="")</formula>
    </cfRule>
  </conditionalFormatting>
  <conditionalFormatting sqref="K272">
    <cfRule type="expression" dxfId="516" priority="935">
      <formula>($K272="")</formula>
    </cfRule>
  </conditionalFormatting>
  <conditionalFormatting sqref="G272">
    <cfRule type="expression" dxfId="515" priority="932">
      <formula>($G272="")</formula>
    </cfRule>
  </conditionalFormatting>
  <conditionalFormatting sqref="Q272">
    <cfRule type="expression" dxfId="514" priority="930">
      <formula>($Q272="√")</formula>
    </cfRule>
  </conditionalFormatting>
  <conditionalFormatting sqref="C273">
    <cfRule type="expression" dxfId="513" priority="929">
      <formula>($C273="")</formula>
    </cfRule>
  </conditionalFormatting>
  <conditionalFormatting sqref="K273">
    <cfRule type="expression" dxfId="512" priority="928">
      <formula>($K273="")</formula>
    </cfRule>
  </conditionalFormatting>
  <conditionalFormatting sqref="G273">
    <cfRule type="expression" dxfId="511" priority="925">
      <formula>($G273="")</formula>
    </cfRule>
  </conditionalFormatting>
  <conditionalFormatting sqref="K267">
    <cfRule type="expression" dxfId="510" priority="922">
      <formula>($K267="")</formula>
    </cfRule>
  </conditionalFormatting>
  <conditionalFormatting sqref="C267">
    <cfRule type="expression" dxfId="509" priority="921">
      <formula>($C267="")</formula>
    </cfRule>
  </conditionalFormatting>
  <conditionalFormatting sqref="C268">
    <cfRule type="expression" dxfId="508" priority="920">
      <formula>($C268="")</formula>
    </cfRule>
  </conditionalFormatting>
  <conditionalFormatting sqref="K268">
    <cfRule type="expression" dxfId="507" priority="919">
      <formula>($K268="")</formula>
    </cfRule>
  </conditionalFormatting>
  <conditionalFormatting sqref="G267">
    <cfRule type="expression" dxfId="506" priority="916">
      <formula>($G267="")</formula>
    </cfRule>
  </conditionalFormatting>
  <conditionalFormatting sqref="G268">
    <cfRule type="expression" dxfId="505" priority="913">
      <formula>($G268="")</formula>
    </cfRule>
  </conditionalFormatting>
  <conditionalFormatting sqref="Q267:Q270">
    <cfRule type="expression" dxfId="504" priority="910">
      <formula>($Q267="√")</formula>
    </cfRule>
  </conditionalFormatting>
  <conditionalFormatting sqref="K275">
    <cfRule type="expression" dxfId="503" priority="909">
      <formula>($K275="")</formula>
    </cfRule>
  </conditionalFormatting>
  <conditionalFormatting sqref="C275">
    <cfRule type="expression" dxfId="502" priority="908">
      <formula>($C275="")</formula>
    </cfRule>
  </conditionalFormatting>
  <conditionalFormatting sqref="C276">
    <cfRule type="expression" dxfId="501" priority="907">
      <formula>($C276="")</formula>
    </cfRule>
  </conditionalFormatting>
  <conditionalFormatting sqref="K276">
    <cfRule type="expression" dxfId="500" priority="906">
      <formula>($K276="")</formula>
    </cfRule>
  </conditionalFormatting>
  <conditionalFormatting sqref="G275">
    <cfRule type="expression" dxfId="499" priority="903">
      <formula>($G275="")</formula>
    </cfRule>
  </conditionalFormatting>
  <conditionalFormatting sqref="G276">
    <cfRule type="expression" dxfId="498" priority="900">
      <formula>($G276="")</formula>
    </cfRule>
  </conditionalFormatting>
  <conditionalFormatting sqref="C232">
    <cfRule type="expression" dxfId="497" priority="888">
      <formula>($C232="")</formula>
    </cfRule>
  </conditionalFormatting>
  <conditionalFormatting sqref="G232">
    <cfRule type="expression" dxfId="496" priority="884">
      <formula>($G232="")</formula>
    </cfRule>
  </conditionalFormatting>
  <conditionalFormatting sqref="Q232">
    <cfRule type="expression" dxfId="495" priority="882">
      <formula>($Q232="√")</formula>
    </cfRule>
  </conditionalFormatting>
  <conditionalFormatting sqref="G233">
    <cfRule type="expression" dxfId="494" priority="877">
      <formula>($G233="")</formula>
    </cfRule>
  </conditionalFormatting>
  <conditionalFormatting sqref="Q233">
    <cfRule type="expression" dxfId="493" priority="875">
      <formula>($Q233="√")</formula>
    </cfRule>
  </conditionalFormatting>
  <conditionalFormatting sqref="C210">
    <cfRule type="expression" dxfId="492" priority="873">
      <formula>($C210="")</formula>
    </cfRule>
  </conditionalFormatting>
  <conditionalFormatting sqref="C211">
    <cfRule type="expression" dxfId="491" priority="872">
      <formula>($C211="")</formula>
    </cfRule>
  </conditionalFormatting>
  <conditionalFormatting sqref="G211">
    <cfRule type="expression" dxfId="490" priority="865">
      <formula>($G211="")</formula>
    </cfRule>
  </conditionalFormatting>
  <conditionalFormatting sqref="Q210">
    <cfRule type="expression" dxfId="489" priority="862">
      <formula>($Q210="√")</formula>
    </cfRule>
  </conditionalFormatting>
  <conditionalFormatting sqref="K246">
    <cfRule type="expression" dxfId="488" priority="860">
      <formula>($K246="")</formula>
    </cfRule>
  </conditionalFormatting>
  <conditionalFormatting sqref="Q246">
    <cfRule type="expression" dxfId="487" priority="855">
      <formula>($Q246="√")</formula>
    </cfRule>
  </conditionalFormatting>
  <conditionalFormatting sqref="G87">
    <cfRule type="expression" dxfId="486" priority="851">
      <formula>($G89="")</formula>
    </cfRule>
  </conditionalFormatting>
  <conditionalFormatting sqref="H87">
    <cfRule type="expression" dxfId="485" priority="850">
      <formula>($H89="")</formula>
    </cfRule>
  </conditionalFormatting>
  <conditionalFormatting sqref="C87">
    <cfRule type="expression" dxfId="484" priority="849">
      <formula>($C87="")</formula>
    </cfRule>
  </conditionalFormatting>
  <conditionalFormatting sqref="K77">
    <cfRule type="expression" dxfId="483" priority="848">
      <formula>($K77="")</formula>
    </cfRule>
  </conditionalFormatting>
  <conditionalFormatting sqref="C274">
    <cfRule type="expression" dxfId="482" priority="841">
      <formula>($Q274="V")</formula>
    </cfRule>
  </conditionalFormatting>
  <conditionalFormatting sqref="C213">
    <cfRule type="expression" dxfId="481" priority="834">
      <formula>($C213="")</formula>
    </cfRule>
  </conditionalFormatting>
  <conditionalFormatting sqref="C217 C219:C220">
    <cfRule type="expression" dxfId="480" priority="833">
      <formula>($C217="")</formula>
    </cfRule>
  </conditionalFormatting>
  <conditionalFormatting sqref="C138">
    <cfRule type="expression" dxfId="479" priority="804">
      <formula>($C138="")</formula>
    </cfRule>
  </conditionalFormatting>
  <conditionalFormatting sqref="C139">
    <cfRule type="expression" dxfId="478" priority="803">
      <formula>($C139="")</formula>
    </cfRule>
  </conditionalFormatting>
  <conditionalFormatting sqref="C140:C148">
    <cfRule type="expression" dxfId="477" priority="802">
      <formula>($C140="")</formula>
    </cfRule>
  </conditionalFormatting>
  <conditionalFormatting sqref="C149">
    <cfRule type="expression" dxfId="476" priority="801">
      <formula>($C149="")</formula>
    </cfRule>
  </conditionalFormatting>
  <conditionalFormatting sqref="C150">
    <cfRule type="expression" dxfId="475" priority="800">
      <formula>($C150="")</formula>
    </cfRule>
  </conditionalFormatting>
  <conditionalFormatting sqref="C151">
    <cfRule type="expression" dxfId="474" priority="799">
      <formula>($C151="")</formula>
    </cfRule>
  </conditionalFormatting>
  <conditionalFormatting sqref="C152">
    <cfRule type="expression" dxfId="473" priority="798">
      <formula>($C152="")</formula>
    </cfRule>
  </conditionalFormatting>
  <conditionalFormatting sqref="K138">
    <cfRule type="expression" dxfId="472" priority="797">
      <formula>($K138="")</formula>
    </cfRule>
  </conditionalFormatting>
  <conditionalFormatting sqref="K139">
    <cfRule type="expression" dxfId="471" priority="796">
      <formula>($K139="")</formula>
    </cfRule>
  </conditionalFormatting>
  <conditionalFormatting sqref="K140:K148">
    <cfRule type="expression" dxfId="470" priority="795">
      <formula>($K140="")</formula>
    </cfRule>
  </conditionalFormatting>
  <conditionalFormatting sqref="K149">
    <cfRule type="expression" dxfId="469" priority="794">
      <formula>($K149="")</formula>
    </cfRule>
  </conditionalFormatting>
  <conditionalFormatting sqref="K150">
    <cfRule type="expression" dxfId="468" priority="793">
      <formula>($K150="")</formula>
    </cfRule>
  </conditionalFormatting>
  <conditionalFormatting sqref="K151">
    <cfRule type="expression" dxfId="467" priority="792">
      <formula>($K151="")</formula>
    </cfRule>
  </conditionalFormatting>
  <conditionalFormatting sqref="K152">
    <cfRule type="expression" dxfId="466" priority="791">
      <formula>($K152="")</formula>
    </cfRule>
  </conditionalFormatting>
  <conditionalFormatting sqref="P168 P50:P54 P216 P45:P48 P135:P136">
    <cfRule type="expression" dxfId="465" priority="772">
      <formula>($P45="")</formula>
    </cfRule>
  </conditionalFormatting>
  <conditionalFormatting sqref="P172">
    <cfRule type="expression" dxfId="464" priority="771">
      <formula>($P172="")</formula>
    </cfRule>
  </conditionalFormatting>
  <conditionalFormatting sqref="G213">
    <cfRule type="expression" dxfId="463" priority="770">
      <formula>($G213="")</formula>
    </cfRule>
  </conditionalFormatting>
  <conditionalFormatting sqref="P211">
    <cfRule type="expression" dxfId="462" priority="765">
      <formula>($P211="")</formula>
    </cfRule>
  </conditionalFormatting>
  <conditionalFormatting sqref="C233:C235">
    <cfRule type="expression" dxfId="461" priority="760">
      <formula>($C233="")</formula>
    </cfRule>
  </conditionalFormatting>
  <conditionalFormatting sqref="G234">
    <cfRule type="expression" dxfId="460" priority="754">
      <formula>($G234="")</formula>
    </cfRule>
  </conditionalFormatting>
  <conditionalFormatting sqref="G235">
    <cfRule type="expression" dxfId="459" priority="753">
      <formula>($G235="")</formula>
    </cfRule>
  </conditionalFormatting>
  <conditionalFormatting sqref="P232">
    <cfRule type="expression" dxfId="458" priority="750">
      <formula>($P232="")</formula>
    </cfRule>
  </conditionalFormatting>
  <conditionalFormatting sqref="Q211">
    <cfRule type="expression" dxfId="457" priority="746">
      <formula>($Q211="√")</formula>
    </cfRule>
  </conditionalFormatting>
  <conditionalFormatting sqref="Q213">
    <cfRule type="expression" dxfId="456" priority="745">
      <formula>($Q213="√")</formula>
    </cfRule>
  </conditionalFormatting>
  <conditionalFormatting sqref="Q217 Q219:Q220">
    <cfRule type="expression" dxfId="455" priority="744">
      <formula>($Q217="√")</formula>
    </cfRule>
  </conditionalFormatting>
  <conditionalFormatting sqref="P210">
    <cfRule type="expression" dxfId="454" priority="743">
      <formula>($P210="")</formula>
    </cfRule>
  </conditionalFormatting>
  <conditionalFormatting sqref="P213">
    <cfRule type="expression" dxfId="453" priority="742">
      <formula>($P213="")</formula>
    </cfRule>
  </conditionalFormatting>
  <conditionalFormatting sqref="P138">
    <cfRule type="expression" dxfId="452" priority="739">
      <formula>($P138="")</formula>
    </cfRule>
  </conditionalFormatting>
  <conditionalFormatting sqref="P139">
    <cfRule type="expression" dxfId="451" priority="738">
      <formula>($P139="")</formula>
    </cfRule>
  </conditionalFormatting>
  <conditionalFormatting sqref="P140:P148">
    <cfRule type="expression" dxfId="450" priority="737">
      <formula>($P140="")</formula>
    </cfRule>
  </conditionalFormatting>
  <conditionalFormatting sqref="P149">
    <cfRule type="expression" dxfId="449" priority="736">
      <formula>($P149="")</formula>
    </cfRule>
  </conditionalFormatting>
  <conditionalFormatting sqref="P150">
    <cfRule type="expression" dxfId="448" priority="735">
      <formula>($P150="")</formula>
    </cfRule>
  </conditionalFormatting>
  <conditionalFormatting sqref="P151">
    <cfRule type="expression" dxfId="447" priority="734">
      <formula>($P151="")</formula>
    </cfRule>
  </conditionalFormatting>
  <conditionalFormatting sqref="P152">
    <cfRule type="expression" dxfId="446" priority="733">
      <formula>($P152="")</formula>
    </cfRule>
  </conditionalFormatting>
  <conditionalFormatting sqref="P154:P157">
    <cfRule type="expression" dxfId="445" priority="732">
      <formula>($P154="")</formula>
    </cfRule>
  </conditionalFormatting>
  <conditionalFormatting sqref="P158">
    <cfRule type="expression" dxfId="444" priority="731">
      <formula>($P158="")</formula>
    </cfRule>
  </conditionalFormatting>
  <conditionalFormatting sqref="P162:P165">
    <cfRule type="expression" dxfId="443" priority="730">
      <formula>($P162="")</formula>
    </cfRule>
  </conditionalFormatting>
  <conditionalFormatting sqref="P166">
    <cfRule type="expression" dxfId="442" priority="729">
      <formula>($P166="")</formula>
    </cfRule>
  </conditionalFormatting>
  <conditionalFormatting sqref="P233">
    <cfRule type="expression" dxfId="441" priority="728">
      <formula>($P233="")</formula>
    </cfRule>
  </conditionalFormatting>
  <conditionalFormatting sqref="P234">
    <cfRule type="expression" dxfId="440" priority="727">
      <formula>($P234="")</formula>
    </cfRule>
  </conditionalFormatting>
  <conditionalFormatting sqref="P235">
    <cfRule type="expression" dxfId="439" priority="726">
      <formula>($P235="")</formula>
    </cfRule>
  </conditionalFormatting>
  <conditionalFormatting sqref="P246">
    <cfRule type="expression" dxfId="438" priority="725">
      <formula>($P246="")</formula>
    </cfRule>
  </conditionalFormatting>
  <conditionalFormatting sqref="P247">
    <cfRule type="expression" dxfId="437" priority="724">
      <formula>($P247="")</formula>
    </cfRule>
  </conditionalFormatting>
  <conditionalFormatting sqref="P255">
    <cfRule type="expression" dxfId="436" priority="723">
      <formula>($P255="")</formula>
    </cfRule>
  </conditionalFormatting>
  <conditionalFormatting sqref="P256">
    <cfRule type="expression" dxfId="435" priority="722">
      <formula>($P256="")</formula>
    </cfRule>
  </conditionalFormatting>
  <conditionalFormatting sqref="P257">
    <cfRule type="expression" dxfId="434" priority="721">
      <formula>($P257="")</formula>
    </cfRule>
  </conditionalFormatting>
  <conditionalFormatting sqref="P258">
    <cfRule type="expression" dxfId="433" priority="720">
      <formula>($P258="")</formula>
    </cfRule>
  </conditionalFormatting>
  <conditionalFormatting sqref="P259">
    <cfRule type="expression" dxfId="432" priority="719">
      <formula>($P259="")</formula>
    </cfRule>
  </conditionalFormatting>
  <conditionalFormatting sqref="P260">
    <cfRule type="expression" dxfId="431" priority="718">
      <formula>($P260="")</formula>
    </cfRule>
  </conditionalFormatting>
  <conditionalFormatting sqref="P261">
    <cfRule type="expression" dxfId="430" priority="717">
      <formula>($P261="")</formula>
    </cfRule>
  </conditionalFormatting>
  <conditionalFormatting sqref="P262">
    <cfRule type="expression" dxfId="429" priority="716">
      <formula>($P262="")</formula>
    </cfRule>
  </conditionalFormatting>
  <conditionalFormatting sqref="C241:C244">
    <cfRule type="expression" dxfId="428" priority="709">
      <formula>($C241="")</formula>
    </cfRule>
  </conditionalFormatting>
  <conditionalFormatting sqref="C241">
    <cfRule type="expression" dxfId="427" priority="706">
      <formula>($C241="")</formula>
    </cfRule>
  </conditionalFormatting>
  <conditionalFormatting sqref="G241">
    <cfRule type="expression" dxfId="426" priority="702">
      <formula>($G241="")</formula>
    </cfRule>
  </conditionalFormatting>
  <conditionalFormatting sqref="Q241">
    <cfRule type="expression" dxfId="425" priority="701">
      <formula>($Q241="√")</formula>
    </cfRule>
  </conditionalFormatting>
  <conditionalFormatting sqref="P241">
    <cfRule type="expression" dxfId="424" priority="700">
      <formula>($P241="")</formula>
    </cfRule>
  </conditionalFormatting>
  <conditionalFormatting sqref="P242:P244">
    <cfRule type="expression" dxfId="423" priority="699">
      <formula>($P242="")</formula>
    </cfRule>
  </conditionalFormatting>
  <conditionalFormatting sqref="G242">
    <cfRule type="expression" dxfId="422" priority="698">
      <formula>($G242="")</formula>
    </cfRule>
  </conditionalFormatting>
  <conditionalFormatting sqref="C243">
    <cfRule type="expression" dxfId="421" priority="696">
      <formula>($C243="")</formula>
    </cfRule>
  </conditionalFormatting>
  <conditionalFormatting sqref="G243">
    <cfRule type="expression" dxfId="420" priority="694">
      <formula>($G243="")</formula>
    </cfRule>
  </conditionalFormatting>
  <conditionalFormatting sqref="Q243">
    <cfRule type="expression" dxfId="419" priority="693">
      <formula>($Q243="√")</formula>
    </cfRule>
  </conditionalFormatting>
  <conditionalFormatting sqref="P243">
    <cfRule type="expression" dxfId="418" priority="692">
      <formula>($P243="")</formula>
    </cfRule>
  </conditionalFormatting>
  <conditionalFormatting sqref="K241">
    <cfRule type="expression" dxfId="417" priority="691">
      <formula>($K241="")</formula>
    </cfRule>
  </conditionalFormatting>
  <conditionalFormatting sqref="K242">
    <cfRule type="expression" dxfId="416" priority="690">
      <formula>($K242="")</formula>
    </cfRule>
  </conditionalFormatting>
  <conditionalFormatting sqref="K243">
    <cfRule type="expression" dxfId="415" priority="689">
      <formula>($K243="")</formula>
    </cfRule>
  </conditionalFormatting>
  <conditionalFormatting sqref="K244">
    <cfRule type="expression" dxfId="414" priority="688">
      <formula>($K244="")</formula>
    </cfRule>
  </conditionalFormatting>
  <conditionalFormatting sqref="G246">
    <cfRule type="expression" dxfId="413" priority="687">
      <formula>($G246="")</formula>
    </cfRule>
  </conditionalFormatting>
  <conditionalFormatting sqref="K247">
    <cfRule type="expression" dxfId="412" priority="684">
      <formula>($K247="")</formula>
    </cfRule>
  </conditionalFormatting>
  <conditionalFormatting sqref="G247">
    <cfRule type="expression" dxfId="411" priority="683">
      <formula>($G247="")</formula>
    </cfRule>
  </conditionalFormatting>
  <conditionalFormatting sqref="G248">
    <cfRule type="expression" dxfId="410" priority="682">
      <formula>($G248="")</formula>
    </cfRule>
  </conditionalFormatting>
  <conditionalFormatting sqref="C247">
    <cfRule type="expression" dxfId="409" priority="681">
      <formula>($C247="")</formula>
    </cfRule>
  </conditionalFormatting>
  <conditionalFormatting sqref="C248">
    <cfRule type="expression" dxfId="408" priority="680">
      <formula>($C248="")</formula>
    </cfRule>
  </conditionalFormatting>
  <conditionalFormatting sqref="K248">
    <cfRule type="expression" dxfId="407" priority="679">
      <formula>($K248="")</formula>
    </cfRule>
  </conditionalFormatting>
  <conditionalFormatting sqref="P248">
    <cfRule type="expression" dxfId="406" priority="678">
      <formula>($P248="")</formula>
    </cfRule>
  </conditionalFormatting>
  <conditionalFormatting sqref="P249">
    <cfRule type="expression" dxfId="405" priority="677">
      <formula>($P249="")</formula>
    </cfRule>
  </conditionalFormatting>
  <conditionalFormatting sqref="G249">
    <cfRule type="expression" dxfId="404" priority="675">
      <formula>($G249="")</formula>
    </cfRule>
  </conditionalFormatting>
  <conditionalFormatting sqref="K249">
    <cfRule type="expression" dxfId="403" priority="674">
      <formula>($K249="")</formula>
    </cfRule>
  </conditionalFormatting>
  <conditionalFormatting sqref="C255">
    <cfRule type="expression" dxfId="402" priority="673">
      <formula>($C255="")</formula>
    </cfRule>
  </conditionalFormatting>
  <conditionalFormatting sqref="C256">
    <cfRule type="expression" dxfId="401" priority="672">
      <formula>($C256="")</formula>
    </cfRule>
  </conditionalFormatting>
  <conditionalFormatting sqref="C257">
    <cfRule type="expression" dxfId="400" priority="671">
      <formula>($C257="")</formula>
    </cfRule>
  </conditionalFormatting>
  <conditionalFormatting sqref="C258">
    <cfRule type="expression" dxfId="399" priority="670">
      <formula>($C258="")</formula>
    </cfRule>
  </conditionalFormatting>
  <conditionalFormatting sqref="C259">
    <cfRule type="expression" dxfId="398" priority="669">
      <formula>($C259="")</formula>
    </cfRule>
  </conditionalFormatting>
  <conditionalFormatting sqref="C260">
    <cfRule type="expression" dxfId="397" priority="668">
      <formula>($C260="")</formula>
    </cfRule>
  </conditionalFormatting>
  <conditionalFormatting sqref="C261">
    <cfRule type="expression" dxfId="396" priority="667">
      <formula>($C261="")</formula>
    </cfRule>
  </conditionalFormatting>
  <conditionalFormatting sqref="C262">
    <cfRule type="expression" dxfId="395" priority="666">
      <formula>($C262="")</formula>
    </cfRule>
  </conditionalFormatting>
  <conditionalFormatting sqref="G256">
    <cfRule type="expression" dxfId="394" priority="665">
      <formula>($G256="")</formula>
    </cfRule>
  </conditionalFormatting>
  <conditionalFormatting sqref="G257">
    <cfRule type="expression" dxfId="393" priority="664">
      <formula>($G257="")</formula>
    </cfRule>
  </conditionalFormatting>
  <conditionalFormatting sqref="G258">
    <cfRule type="expression" dxfId="392" priority="663">
      <formula>($G258="")</formula>
    </cfRule>
  </conditionalFormatting>
  <conditionalFormatting sqref="G259">
    <cfRule type="expression" dxfId="391" priority="662">
      <formula>($G259="")</formula>
    </cfRule>
  </conditionalFormatting>
  <conditionalFormatting sqref="G260">
    <cfRule type="expression" dxfId="390" priority="661">
      <formula>($G260="")</formula>
    </cfRule>
  </conditionalFormatting>
  <conditionalFormatting sqref="G261">
    <cfRule type="expression" dxfId="389" priority="660">
      <formula>($G261="")</formula>
    </cfRule>
  </conditionalFormatting>
  <conditionalFormatting sqref="G262">
    <cfRule type="expression" dxfId="388" priority="659">
      <formula>($G262="")</formula>
    </cfRule>
  </conditionalFormatting>
  <conditionalFormatting sqref="K256">
    <cfRule type="expression" dxfId="387" priority="658">
      <formula>($K256="")</formula>
    </cfRule>
  </conditionalFormatting>
  <conditionalFormatting sqref="K257">
    <cfRule type="expression" dxfId="386" priority="657">
      <formula>($K257="")</formula>
    </cfRule>
  </conditionalFormatting>
  <conditionalFormatting sqref="K258">
    <cfRule type="expression" dxfId="385" priority="656">
      <formula>($K258="")</formula>
    </cfRule>
  </conditionalFormatting>
  <conditionalFormatting sqref="K259">
    <cfRule type="expression" dxfId="384" priority="655">
      <formula>($K259="")</formula>
    </cfRule>
  </conditionalFormatting>
  <conditionalFormatting sqref="K260">
    <cfRule type="expression" dxfId="383" priority="654">
      <formula>($K260="")</formula>
    </cfRule>
  </conditionalFormatting>
  <conditionalFormatting sqref="K261">
    <cfRule type="expression" dxfId="382" priority="653">
      <formula>($K261="")</formula>
    </cfRule>
  </conditionalFormatting>
  <conditionalFormatting sqref="K262">
    <cfRule type="expression" dxfId="381" priority="652">
      <formula>($K262="")</formula>
    </cfRule>
  </conditionalFormatting>
  <conditionalFormatting sqref="C269">
    <cfRule type="expression" dxfId="380" priority="651">
      <formula>($C269="")</formula>
    </cfRule>
  </conditionalFormatting>
  <conditionalFormatting sqref="C270">
    <cfRule type="expression" dxfId="379" priority="650">
      <formula>($C270="")</formula>
    </cfRule>
  </conditionalFormatting>
  <conditionalFormatting sqref="P267">
    <cfRule type="expression" dxfId="378" priority="649">
      <formula>($P267="")</formula>
    </cfRule>
  </conditionalFormatting>
  <conditionalFormatting sqref="P268">
    <cfRule type="expression" dxfId="377" priority="648">
      <formula>($P268="")</formula>
    </cfRule>
  </conditionalFormatting>
  <conditionalFormatting sqref="P269">
    <cfRule type="expression" dxfId="376" priority="647">
      <formula>($P269="")</formula>
    </cfRule>
  </conditionalFormatting>
  <conditionalFormatting sqref="P270">
    <cfRule type="expression" dxfId="375" priority="646">
      <formula>($P270="")</formula>
    </cfRule>
  </conditionalFormatting>
  <conditionalFormatting sqref="Q273">
    <cfRule type="expression" dxfId="374" priority="645">
      <formula>($Q273="√")</formula>
    </cfRule>
  </conditionalFormatting>
  <conditionalFormatting sqref="K277">
    <cfRule type="expression" dxfId="373" priority="644">
      <formula>($K277="")</formula>
    </cfRule>
  </conditionalFormatting>
  <conditionalFormatting sqref="C277">
    <cfRule type="expression" dxfId="372" priority="643">
      <formula>($C277="")</formula>
    </cfRule>
  </conditionalFormatting>
  <conditionalFormatting sqref="K278">
    <cfRule type="expression" dxfId="371" priority="641">
      <formula>($K278="")</formula>
    </cfRule>
  </conditionalFormatting>
  <conditionalFormatting sqref="G277">
    <cfRule type="expression" dxfId="370" priority="640">
      <formula>($G277="")</formula>
    </cfRule>
  </conditionalFormatting>
  <conditionalFormatting sqref="G278">
    <cfRule type="expression" dxfId="369" priority="639">
      <formula>($G278="")</formula>
    </cfRule>
  </conditionalFormatting>
  <conditionalFormatting sqref="Q207:Q208">
    <cfRule type="expression" dxfId="368" priority="624">
      <formula>($Q207="√")</formula>
    </cfRule>
  </conditionalFormatting>
  <conditionalFormatting sqref="Q208">
    <cfRule type="expression" dxfId="367" priority="623">
      <formula>($Q208="√")</formula>
    </cfRule>
  </conditionalFormatting>
  <conditionalFormatting sqref="Q207:Q208">
    <cfRule type="expression" dxfId="366" priority="622">
      <formula>($Q207="√")</formula>
    </cfRule>
  </conditionalFormatting>
  <conditionalFormatting sqref="P207">
    <cfRule type="expression" dxfId="365" priority="621">
      <formula>($P207="")</formula>
    </cfRule>
  </conditionalFormatting>
  <conditionalFormatting sqref="P208">
    <cfRule type="expression" dxfId="364" priority="620">
      <formula>($P208="")</formula>
    </cfRule>
  </conditionalFormatting>
  <conditionalFormatting sqref="K207">
    <cfRule type="expression" dxfId="363" priority="607">
      <formula>($K207="")</formula>
    </cfRule>
  </conditionalFormatting>
  <conditionalFormatting sqref="K208">
    <cfRule type="expression" dxfId="362" priority="606">
      <formula>($K208="")</formula>
    </cfRule>
  </conditionalFormatting>
  <conditionalFormatting sqref="C208">
    <cfRule type="expression" dxfId="361" priority="581">
      <formula>($C208="")</formula>
    </cfRule>
  </conditionalFormatting>
  <conditionalFormatting sqref="C207">
    <cfRule type="expression" dxfId="360" priority="580">
      <formula>($C207="")</formula>
    </cfRule>
  </conditionalFormatting>
  <conditionalFormatting sqref="P272">
    <cfRule type="expression" dxfId="359" priority="579">
      <formula>($P272="")</formula>
    </cfRule>
  </conditionalFormatting>
  <conditionalFormatting sqref="P273">
    <cfRule type="expression" dxfId="358" priority="578">
      <formula>($P273="")</formula>
    </cfRule>
  </conditionalFormatting>
  <conditionalFormatting sqref="P275">
    <cfRule type="expression" dxfId="357" priority="577">
      <formula>($P275="")</formula>
    </cfRule>
  </conditionalFormatting>
  <conditionalFormatting sqref="P276">
    <cfRule type="expression" dxfId="356" priority="576">
      <formula>($P276="")</formula>
    </cfRule>
  </conditionalFormatting>
  <conditionalFormatting sqref="P277">
    <cfRule type="expression" dxfId="355" priority="575">
      <formula>($P277="")</formula>
    </cfRule>
  </conditionalFormatting>
  <conditionalFormatting sqref="P278">
    <cfRule type="expression" dxfId="354" priority="574">
      <formula>($P278="")</formula>
    </cfRule>
  </conditionalFormatting>
  <conditionalFormatting sqref="H89">
    <cfRule type="expression" dxfId="353" priority="571">
      <formula>($H89="")</formula>
    </cfRule>
  </conditionalFormatting>
  <conditionalFormatting sqref="G69:G73">
    <cfRule type="expression" dxfId="352" priority="568">
      <formula>($G69="")</formula>
    </cfRule>
  </conditionalFormatting>
  <conditionalFormatting sqref="G89">
    <cfRule type="expression" dxfId="351" priority="566">
      <formula>($G89="")</formula>
    </cfRule>
  </conditionalFormatting>
  <conditionalFormatting sqref="F89">
    <cfRule type="expression" dxfId="350" priority="537">
      <formula>($F89="")</formula>
    </cfRule>
  </conditionalFormatting>
  <conditionalFormatting sqref="F77">
    <cfRule type="expression" dxfId="349" priority="536">
      <formula>($F77="")</formula>
    </cfRule>
  </conditionalFormatting>
  <conditionalFormatting sqref="F87">
    <cfRule type="expression" dxfId="348" priority="534">
      <formula>($F87="")</formula>
    </cfRule>
  </conditionalFormatting>
  <conditionalFormatting sqref="F138:F152">
    <cfRule type="expression" dxfId="347" priority="533">
      <formula>($F138="")</formula>
    </cfRule>
  </conditionalFormatting>
  <conditionalFormatting sqref="F154:F158">
    <cfRule type="expression" dxfId="346" priority="532">
      <formula>($F154="")</formula>
    </cfRule>
  </conditionalFormatting>
  <conditionalFormatting sqref="F162:F166">
    <cfRule type="expression" dxfId="345" priority="531">
      <formula>($F162="")</formula>
    </cfRule>
  </conditionalFormatting>
  <conditionalFormatting sqref="F168:F172">
    <cfRule type="expression" dxfId="344" priority="530">
      <formula>($F168="")</formula>
    </cfRule>
  </conditionalFormatting>
  <conditionalFormatting sqref="E25">
    <cfRule type="expression" dxfId="343" priority="529">
      <formula>($E25="")</formula>
    </cfRule>
  </conditionalFormatting>
  <conditionalFormatting sqref="E26">
    <cfRule type="expression" dxfId="342" priority="528">
      <formula>($E26="")</formula>
    </cfRule>
  </conditionalFormatting>
  <conditionalFormatting sqref="E27">
    <cfRule type="expression" dxfId="341" priority="527">
      <formula>($E27="")</formula>
    </cfRule>
  </conditionalFormatting>
  <conditionalFormatting sqref="E28:E36">
    <cfRule type="expression" dxfId="340" priority="526">
      <formula>($E28="")</formula>
    </cfRule>
  </conditionalFormatting>
  <conditionalFormatting sqref="E37">
    <cfRule type="expression" dxfId="339" priority="525">
      <formula>($E37="")</formula>
    </cfRule>
  </conditionalFormatting>
  <conditionalFormatting sqref="E38">
    <cfRule type="expression" dxfId="338" priority="524">
      <formula>($E38="")</formula>
    </cfRule>
  </conditionalFormatting>
  <conditionalFormatting sqref="E39">
    <cfRule type="expression" dxfId="337" priority="523">
      <formula>($E39="")</formula>
    </cfRule>
  </conditionalFormatting>
  <conditionalFormatting sqref="E40">
    <cfRule type="expression" dxfId="336" priority="522">
      <formula>($E40="")</formula>
    </cfRule>
  </conditionalFormatting>
  <conditionalFormatting sqref="E41">
    <cfRule type="expression" dxfId="335" priority="521">
      <formula>($E41="")</formula>
    </cfRule>
  </conditionalFormatting>
  <conditionalFormatting sqref="E42">
    <cfRule type="expression" dxfId="334" priority="520">
      <formula>($E42="")</formula>
    </cfRule>
  </conditionalFormatting>
  <conditionalFormatting sqref="E43">
    <cfRule type="expression" dxfId="333" priority="519">
      <formula>($E43="")</formula>
    </cfRule>
  </conditionalFormatting>
  <conditionalFormatting sqref="E61">
    <cfRule type="expression" dxfId="332" priority="514">
      <formula>($E61="")</formula>
    </cfRule>
  </conditionalFormatting>
  <conditionalFormatting sqref="E62">
    <cfRule type="expression" dxfId="331" priority="513">
      <formula>($E62="")</formula>
    </cfRule>
  </conditionalFormatting>
  <conditionalFormatting sqref="E63">
    <cfRule type="expression" dxfId="330" priority="512">
      <formula>($E63="")</formula>
    </cfRule>
  </conditionalFormatting>
  <conditionalFormatting sqref="E64">
    <cfRule type="expression" dxfId="329" priority="511">
      <formula>($E64="")</formula>
    </cfRule>
  </conditionalFormatting>
  <conditionalFormatting sqref="E65">
    <cfRule type="expression" dxfId="328" priority="510">
      <formula>($E65="")</formula>
    </cfRule>
  </conditionalFormatting>
  <conditionalFormatting sqref="E66">
    <cfRule type="expression" dxfId="327" priority="509">
      <formula>($E66="")</formula>
    </cfRule>
  </conditionalFormatting>
  <conditionalFormatting sqref="E67">
    <cfRule type="expression" dxfId="326" priority="508">
      <formula>($E67="")</formula>
    </cfRule>
  </conditionalFormatting>
  <conditionalFormatting sqref="E69:E73">
    <cfRule type="expression" dxfId="325" priority="507">
      <formula>($E69="")</formula>
    </cfRule>
  </conditionalFormatting>
  <conditionalFormatting sqref="E76">
    <cfRule type="expression" dxfId="324" priority="506">
      <formula>($E76="")</formula>
    </cfRule>
  </conditionalFormatting>
  <conditionalFormatting sqref="E77">
    <cfRule type="expression" dxfId="323" priority="505">
      <formula>($E77="")</formula>
    </cfRule>
  </conditionalFormatting>
  <conditionalFormatting sqref="E87">
    <cfRule type="expression" dxfId="322" priority="503">
      <formula>($E87="")</formula>
    </cfRule>
  </conditionalFormatting>
  <conditionalFormatting sqref="E89">
    <cfRule type="expression" dxfId="321" priority="502">
      <formula>($E89="")</formula>
    </cfRule>
  </conditionalFormatting>
  <conditionalFormatting sqref="E138">
    <cfRule type="expression" dxfId="320" priority="500">
      <formula>($E138="")</formula>
    </cfRule>
  </conditionalFormatting>
  <conditionalFormatting sqref="E139">
    <cfRule type="expression" dxfId="319" priority="499">
      <formula>($E139="")</formula>
    </cfRule>
  </conditionalFormatting>
  <conditionalFormatting sqref="E140:E148">
    <cfRule type="expression" dxfId="318" priority="498">
      <formula>($E140="")</formula>
    </cfRule>
  </conditionalFormatting>
  <conditionalFormatting sqref="E149">
    <cfRule type="expression" dxfId="317" priority="497">
      <formula>($E149="")</formula>
    </cfRule>
  </conditionalFormatting>
  <conditionalFormatting sqref="E150">
    <cfRule type="expression" dxfId="316" priority="496">
      <formula>($E150="")</formula>
    </cfRule>
  </conditionalFormatting>
  <conditionalFormatting sqref="E151">
    <cfRule type="expression" dxfId="315" priority="495">
      <formula>($E151="")</formula>
    </cfRule>
  </conditionalFormatting>
  <conditionalFormatting sqref="E152">
    <cfRule type="expression" dxfId="314" priority="494">
      <formula>($E152="")</formula>
    </cfRule>
  </conditionalFormatting>
  <conditionalFormatting sqref="E154:E157">
    <cfRule type="expression" dxfId="313" priority="493">
      <formula>($E154="")</formula>
    </cfRule>
  </conditionalFormatting>
  <conditionalFormatting sqref="E158">
    <cfRule type="expression" dxfId="312" priority="492">
      <formula>($E158="")</formula>
    </cfRule>
  </conditionalFormatting>
  <conditionalFormatting sqref="E162:E165">
    <cfRule type="expression" dxfId="311" priority="491">
      <formula>($E162="")</formula>
    </cfRule>
  </conditionalFormatting>
  <conditionalFormatting sqref="E166">
    <cfRule type="expression" dxfId="310" priority="490">
      <formula>($E166="")</formula>
    </cfRule>
  </conditionalFormatting>
  <conditionalFormatting sqref="E168:E171">
    <cfRule type="expression" dxfId="309" priority="489">
      <formula>($E168="")</formula>
    </cfRule>
  </conditionalFormatting>
  <conditionalFormatting sqref="E172">
    <cfRule type="expression" dxfId="308" priority="488">
      <formula>($E172="")</formula>
    </cfRule>
  </conditionalFormatting>
  <conditionalFormatting sqref="C13">
    <cfRule type="expression" dxfId="307" priority="487">
      <formula>($C13="")</formula>
    </cfRule>
  </conditionalFormatting>
  <conditionalFormatting sqref="C246">
    <cfRule type="expression" dxfId="306" priority="486">
      <formula>($C246="")</formula>
    </cfRule>
  </conditionalFormatting>
  <conditionalFormatting sqref="Q279:Q282">
    <cfRule type="expression" dxfId="305" priority="485">
      <formula>($Q279="√")</formula>
    </cfRule>
  </conditionalFormatting>
  <conditionalFormatting sqref="Q251:Q253">
    <cfRule type="expression" dxfId="304" priority="484">
      <formula>($Q251="V")</formula>
    </cfRule>
  </conditionalFormatting>
  <conditionalFormatting sqref="Q250">
    <cfRule type="expression" dxfId="303" priority="475">
      <formula>($Q250="√")</formula>
    </cfRule>
  </conditionalFormatting>
  <conditionalFormatting sqref="C249">
    <cfRule type="expression" dxfId="302" priority="474">
      <formula>($C249="")</formula>
    </cfRule>
  </conditionalFormatting>
  <conditionalFormatting sqref="C278">
    <cfRule type="expression" dxfId="301" priority="473">
      <formula>($C278="")</formula>
    </cfRule>
  </conditionalFormatting>
  <conditionalFormatting sqref="K407">
    <cfRule type="expression" dxfId="300" priority="461">
      <formula>($K407="")</formula>
    </cfRule>
  </conditionalFormatting>
  <conditionalFormatting sqref="N398">
    <cfRule type="expression" dxfId="299" priority="460">
      <formula>($N398="")</formula>
    </cfRule>
  </conditionalFormatting>
  <conditionalFormatting sqref="N399">
    <cfRule type="expression" dxfId="298" priority="459">
      <formula>($N399="")</formula>
    </cfRule>
  </conditionalFormatting>
  <conditionalFormatting sqref="N400">
    <cfRule type="expression" dxfId="297" priority="458">
      <formula>($N400="")</formula>
    </cfRule>
  </conditionalFormatting>
  <conditionalFormatting sqref="N401">
    <cfRule type="expression" dxfId="296" priority="457">
      <formula>($N401="")</formula>
    </cfRule>
  </conditionalFormatting>
  <conditionalFormatting sqref="N402">
    <cfRule type="expression" dxfId="295" priority="456">
      <formula>($N402="")</formula>
    </cfRule>
  </conditionalFormatting>
  <conditionalFormatting sqref="N403">
    <cfRule type="expression" dxfId="294" priority="455">
      <formula>($N403="")</formula>
    </cfRule>
  </conditionalFormatting>
  <conditionalFormatting sqref="N404">
    <cfRule type="expression" dxfId="293" priority="454">
      <formula>($N404="")</formula>
    </cfRule>
  </conditionalFormatting>
  <conditionalFormatting sqref="N405">
    <cfRule type="expression" dxfId="292" priority="453">
      <formula>($N405="")</formula>
    </cfRule>
  </conditionalFormatting>
  <conditionalFormatting sqref="P20:P22">
    <cfRule type="expression" dxfId="291" priority="451">
      <formula>($P20="")</formula>
    </cfRule>
  </conditionalFormatting>
  <conditionalFormatting sqref="P24">
    <cfRule type="expression" dxfId="290" priority="450">
      <formula>($P24="")</formula>
    </cfRule>
  </conditionalFormatting>
  <conditionalFormatting sqref="P25">
    <cfRule type="expression" dxfId="289" priority="449">
      <formula>($P25="")</formula>
    </cfRule>
  </conditionalFormatting>
  <conditionalFormatting sqref="P26">
    <cfRule type="expression" dxfId="288" priority="448">
      <formula>($P26="")</formula>
    </cfRule>
  </conditionalFormatting>
  <conditionalFormatting sqref="P27">
    <cfRule type="expression" dxfId="287" priority="447">
      <formula>($P27="")</formula>
    </cfRule>
  </conditionalFormatting>
  <conditionalFormatting sqref="P28:P36">
    <cfRule type="expression" dxfId="286" priority="446">
      <formula>($P28="")</formula>
    </cfRule>
  </conditionalFormatting>
  <conditionalFormatting sqref="P37">
    <cfRule type="expression" dxfId="285" priority="445">
      <formula>($P37="")</formula>
    </cfRule>
  </conditionalFormatting>
  <conditionalFormatting sqref="P38">
    <cfRule type="expression" dxfId="284" priority="444">
      <formula>($P38="")</formula>
    </cfRule>
  </conditionalFormatting>
  <conditionalFormatting sqref="P39">
    <cfRule type="expression" dxfId="283" priority="443">
      <formula>($P39="")</formula>
    </cfRule>
  </conditionalFormatting>
  <conditionalFormatting sqref="P40">
    <cfRule type="expression" dxfId="282" priority="442">
      <formula>($P40="")</formula>
    </cfRule>
  </conditionalFormatting>
  <conditionalFormatting sqref="P41">
    <cfRule type="expression" dxfId="281" priority="441">
      <formula>($P41="")</formula>
    </cfRule>
  </conditionalFormatting>
  <conditionalFormatting sqref="P42">
    <cfRule type="expression" dxfId="280" priority="440">
      <formula>($P42="")</formula>
    </cfRule>
  </conditionalFormatting>
  <conditionalFormatting sqref="P43">
    <cfRule type="expression" dxfId="279" priority="439">
      <formula>($P43="")</formula>
    </cfRule>
  </conditionalFormatting>
  <conditionalFormatting sqref="P61">
    <cfRule type="expression" dxfId="278" priority="434">
      <formula>($P61="")</formula>
    </cfRule>
  </conditionalFormatting>
  <conditionalFormatting sqref="P62">
    <cfRule type="expression" dxfId="277" priority="433">
      <formula>($P62="")</formula>
    </cfRule>
  </conditionalFormatting>
  <conditionalFormatting sqref="P63">
    <cfRule type="expression" dxfId="276" priority="432">
      <formula>($P63="")</formula>
    </cfRule>
  </conditionalFormatting>
  <conditionalFormatting sqref="P64">
    <cfRule type="expression" dxfId="275" priority="431">
      <formula>($P64="")</formula>
    </cfRule>
  </conditionalFormatting>
  <conditionalFormatting sqref="P65">
    <cfRule type="expression" dxfId="274" priority="430">
      <formula>($P65="")</formula>
    </cfRule>
  </conditionalFormatting>
  <conditionalFormatting sqref="P66">
    <cfRule type="expression" dxfId="273" priority="429">
      <formula>($P66="")</formula>
    </cfRule>
  </conditionalFormatting>
  <conditionalFormatting sqref="P67">
    <cfRule type="expression" dxfId="272" priority="428">
      <formula>($P67="")</formula>
    </cfRule>
  </conditionalFormatting>
  <conditionalFormatting sqref="P69:P73">
    <cfRule type="expression" dxfId="271" priority="427">
      <formula>($P69="")</formula>
    </cfRule>
  </conditionalFormatting>
  <conditionalFormatting sqref="P76">
    <cfRule type="expression" dxfId="270" priority="426">
      <formula>($P76="")</formula>
    </cfRule>
  </conditionalFormatting>
  <conditionalFormatting sqref="P77">
    <cfRule type="expression" dxfId="269" priority="425">
      <formula>($P77="")</formula>
    </cfRule>
  </conditionalFormatting>
  <conditionalFormatting sqref="P87">
    <cfRule type="expression" dxfId="268" priority="423">
      <formula>($P87="")</formula>
    </cfRule>
  </conditionalFormatting>
  <conditionalFormatting sqref="K87">
    <cfRule type="expression" dxfId="267" priority="421">
      <formula>($K87="")</formula>
    </cfRule>
  </conditionalFormatting>
  <conditionalFormatting sqref="H77">
    <cfRule type="expression" dxfId="266" priority="420">
      <formula>($H77="")</formula>
    </cfRule>
  </conditionalFormatting>
  <conditionalFormatting sqref="C77">
    <cfRule type="expression" dxfId="265" priority="415">
      <formula>($C77="")</formula>
    </cfRule>
  </conditionalFormatting>
  <conditionalFormatting sqref="D78:D86 D50:D54 D216 D45:D48 D135:D136 D20:D22">
    <cfRule type="expression" dxfId="264" priority="414">
      <formula>($D20="")</formula>
    </cfRule>
  </conditionalFormatting>
  <conditionalFormatting sqref="D24">
    <cfRule type="expression" dxfId="263" priority="413">
      <formula>($D24="")</formula>
    </cfRule>
  </conditionalFormatting>
  <conditionalFormatting sqref="D25">
    <cfRule type="expression" dxfId="262" priority="412">
      <formula>($D25="")</formula>
    </cfRule>
  </conditionalFormatting>
  <conditionalFormatting sqref="D26">
    <cfRule type="expression" dxfId="261" priority="411">
      <formula>($D26="")</formula>
    </cfRule>
  </conditionalFormatting>
  <conditionalFormatting sqref="D27">
    <cfRule type="expression" dxfId="260" priority="410">
      <formula>($D27="")</formula>
    </cfRule>
  </conditionalFormatting>
  <conditionalFormatting sqref="D28:D36">
    <cfRule type="expression" dxfId="259" priority="409">
      <formula>($D28="")</formula>
    </cfRule>
  </conditionalFormatting>
  <conditionalFormatting sqref="D37">
    <cfRule type="expression" dxfId="258" priority="408">
      <formula>($D37="")</formula>
    </cfRule>
  </conditionalFormatting>
  <conditionalFormatting sqref="D38">
    <cfRule type="expression" dxfId="257" priority="407">
      <formula>($D38="")</formula>
    </cfRule>
  </conditionalFormatting>
  <conditionalFormatting sqref="D39">
    <cfRule type="expression" dxfId="256" priority="406">
      <formula>($D39="")</formula>
    </cfRule>
  </conditionalFormatting>
  <conditionalFormatting sqref="D40">
    <cfRule type="expression" dxfId="255" priority="405">
      <formula>($D40="")</formula>
    </cfRule>
  </conditionalFormatting>
  <conditionalFormatting sqref="D41">
    <cfRule type="expression" dxfId="254" priority="404">
      <formula>($D41="")</formula>
    </cfRule>
  </conditionalFormatting>
  <conditionalFormatting sqref="D42">
    <cfRule type="expression" dxfId="253" priority="403">
      <formula>($D42="")</formula>
    </cfRule>
  </conditionalFormatting>
  <conditionalFormatting sqref="D43">
    <cfRule type="expression" dxfId="252" priority="402">
      <formula>($D43="")</formula>
    </cfRule>
  </conditionalFormatting>
  <conditionalFormatting sqref="D61">
    <cfRule type="expression" dxfId="251" priority="397">
      <formula>($D61="")</formula>
    </cfRule>
  </conditionalFormatting>
  <conditionalFormatting sqref="D62">
    <cfRule type="expression" dxfId="250" priority="396">
      <formula>($D62="")</formula>
    </cfRule>
  </conditionalFormatting>
  <conditionalFormatting sqref="D63">
    <cfRule type="expression" dxfId="249" priority="395">
      <formula>($D63="")</formula>
    </cfRule>
  </conditionalFormatting>
  <conditionalFormatting sqref="D64">
    <cfRule type="expression" dxfId="248" priority="394">
      <formula>($D64="")</formula>
    </cfRule>
  </conditionalFormatting>
  <conditionalFormatting sqref="D65">
    <cfRule type="expression" dxfId="247" priority="393">
      <formula>($D65="")</formula>
    </cfRule>
  </conditionalFormatting>
  <conditionalFormatting sqref="D66">
    <cfRule type="expression" dxfId="246" priority="392">
      <formula>($D66="")</formula>
    </cfRule>
  </conditionalFormatting>
  <conditionalFormatting sqref="D67">
    <cfRule type="expression" dxfId="245" priority="391">
      <formula>($D67="")</formula>
    </cfRule>
  </conditionalFormatting>
  <conditionalFormatting sqref="D69:D73">
    <cfRule type="expression" dxfId="244" priority="390">
      <formula>($D69="")</formula>
    </cfRule>
  </conditionalFormatting>
  <conditionalFormatting sqref="D76">
    <cfRule type="expression" dxfId="243" priority="389">
      <formula>($D76="")</formula>
    </cfRule>
  </conditionalFormatting>
  <conditionalFormatting sqref="D77">
    <cfRule type="expression" dxfId="242" priority="388">
      <formula>($D77="")</formula>
    </cfRule>
  </conditionalFormatting>
  <conditionalFormatting sqref="D87">
    <cfRule type="expression" dxfId="241" priority="386">
      <formula>($D87="")</formula>
    </cfRule>
  </conditionalFormatting>
  <conditionalFormatting sqref="D138">
    <cfRule type="expression" dxfId="240" priority="384">
      <formula>($D138="")</formula>
    </cfRule>
  </conditionalFormatting>
  <conditionalFormatting sqref="D139">
    <cfRule type="expression" dxfId="239" priority="383">
      <formula>($D139="")</formula>
    </cfRule>
  </conditionalFormatting>
  <conditionalFormatting sqref="D140:D148">
    <cfRule type="expression" dxfId="238" priority="382">
      <formula>($D140="")</formula>
    </cfRule>
  </conditionalFormatting>
  <conditionalFormatting sqref="D149">
    <cfRule type="expression" dxfId="237" priority="381">
      <formula>($D149="")</formula>
    </cfRule>
  </conditionalFormatting>
  <conditionalFormatting sqref="D150">
    <cfRule type="expression" dxfId="236" priority="380">
      <formula>($D150="")</formula>
    </cfRule>
  </conditionalFormatting>
  <conditionalFormatting sqref="D151">
    <cfRule type="expression" dxfId="235" priority="379">
      <formula>($D151="")</formula>
    </cfRule>
  </conditionalFormatting>
  <conditionalFormatting sqref="D152">
    <cfRule type="expression" dxfId="234" priority="378">
      <formula>($D152="")</formula>
    </cfRule>
  </conditionalFormatting>
  <conditionalFormatting sqref="D154:D157">
    <cfRule type="expression" dxfId="233" priority="377">
      <formula>($D154="")</formula>
    </cfRule>
  </conditionalFormatting>
  <conditionalFormatting sqref="D158">
    <cfRule type="expression" dxfId="232" priority="376">
      <formula>($D158="")</formula>
    </cfRule>
  </conditionalFormatting>
  <conditionalFormatting sqref="D162:D165">
    <cfRule type="expression" dxfId="231" priority="375">
      <formula>($D162="")</formula>
    </cfRule>
  </conditionalFormatting>
  <conditionalFormatting sqref="D166">
    <cfRule type="expression" dxfId="230" priority="374">
      <formula>($D166="")</formula>
    </cfRule>
  </conditionalFormatting>
  <conditionalFormatting sqref="D168:D171">
    <cfRule type="expression" dxfId="229" priority="373">
      <formula>($D168="")</formula>
    </cfRule>
  </conditionalFormatting>
  <conditionalFormatting sqref="D172">
    <cfRule type="expression" dxfId="228" priority="372">
      <formula>($D172="")</formula>
    </cfRule>
  </conditionalFormatting>
  <conditionalFormatting sqref="D207">
    <cfRule type="expression" dxfId="227" priority="371">
      <formula>($D207="")</formula>
    </cfRule>
  </conditionalFormatting>
  <conditionalFormatting sqref="D208">
    <cfRule type="expression" dxfId="226" priority="370">
      <formula>($D208="")</formula>
    </cfRule>
  </conditionalFormatting>
  <conditionalFormatting sqref="D210">
    <cfRule type="expression" dxfId="225" priority="369">
      <formula>($D210="")</formula>
    </cfRule>
  </conditionalFormatting>
  <conditionalFormatting sqref="D211">
    <cfRule type="expression" dxfId="224" priority="368">
      <formula>($D211="")</formula>
    </cfRule>
  </conditionalFormatting>
  <conditionalFormatting sqref="D213:D214">
    <cfRule type="expression" dxfId="223" priority="367">
      <formula>($D213="")</formula>
    </cfRule>
  </conditionalFormatting>
  <conditionalFormatting sqref="D232">
    <cfRule type="expression" dxfId="222" priority="365">
      <formula>($D232="")</formula>
    </cfRule>
  </conditionalFormatting>
  <conditionalFormatting sqref="D233">
    <cfRule type="expression" dxfId="221" priority="364">
      <formula>($D233="")</formula>
    </cfRule>
  </conditionalFormatting>
  <conditionalFormatting sqref="D234">
    <cfRule type="expression" dxfId="220" priority="363">
      <formula>($D234="")</formula>
    </cfRule>
  </conditionalFormatting>
  <conditionalFormatting sqref="D235">
    <cfRule type="expression" dxfId="219" priority="362">
      <formula>($D235="")</formula>
    </cfRule>
  </conditionalFormatting>
  <conditionalFormatting sqref="D241">
    <cfRule type="expression" dxfId="218" priority="361">
      <formula>($D241="")</formula>
    </cfRule>
  </conditionalFormatting>
  <conditionalFormatting sqref="D242">
    <cfRule type="expression" dxfId="217" priority="360">
      <formula>($D242="")</formula>
    </cfRule>
  </conditionalFormatting>
  <conditionalFormatting sqref="D243">
    <cfRule type="expression" dxfId="216" priority="359">
      <formula>($D243="")</formula>
    </cfRule>
  </conditionalFormatting>
  <conditionalFormatting sqref="D244">
    <cfRule type="expression" dxfId="215" priority="358">
      <formula>($D244="")</formula>
    </cfRule>
  </conditionalFormatting>
  <conditionalFormatting sqref="D246">
    <cfRule type="expression" dxfId="214" priority="357">
      <formula>($D246="")</formula>
    </cfRule>
  </conditionalFormatting>
  <conditionalFormatting sqref="D247">
    <cfRule type="expression" dxfId="213" priority="356">
      <formula>($D247="")</formula>
    </cfRule>
  </conditionalFormatting>
  <conditionalFormatting sqref="D248">
    <cfRule type="expression" dxfId="212" priority="355">
      <formula>($D248="")</formula>
    </cfRule>
  </conditionalFormatting>
  <conditionalFormatting sqref="D249">
    <cfRule type="expression" dxfId="211" priority="354">
      <formula>($D249="")</formula>
    </cfRule>
  </conditionalFormatting>
  <conditionalFormatting sqref="D255">
    <cfRule type="expression" dxfId="210" priority="353">
      <formula>($D255="")</formula>
    </cfRule>
  </conditionalFormatting>
  <conditionalFormatting sqref="D256">
    <cfRule type="expression" dxfId="209" priority="352">
      <formula>($D256="")</formula>
    </cfRule>
  </conditionalFormatting>
  <conditionalFormatting sqref="D257">
    <cfRule type="expression" dxfId="208" priority="351">
      <formula>($D257="")</formula>
    </cfRule>
  </conditionalFormatting>
  <conditionalFormatting sqref="D258">
    <cfRule type="expression" dxfId="207" priority="350">
      <formula>($D258="")</formula>
    </cfRule>
  </conditionalFormatting>
  <conditionalFormatting sqref="D259">
    <cfRule type="expression" dxfId="206" priority="349">
      <formula>($D259="")</formula>
    </cfRule>
  </conditionalFormatting>
  <conditionalFormatting sqref="D260">
    <cfRule type="expression" dxfId="205" priority="348">
      <formula>($D260="")</formula>
    </cfRule>
  </conditionalFormatting>
  <conditionalFormatting sqref="D261">
    <cfRule type="expression" dxfId="204" priority="347">
      <formula>($D261="")</formula>
    </cfRule>
  </conditionalFormatting>
  <conditionalFormatting sqref="D262">
    <cfRule type="expression" dxfId="203" priority="346">
      <formula>($D262="")</formula>
    </cfRule>
  </conditionalFormatting>
  <conditionalFormatting sqref="D268">
    <cfRule type="expression" dxfId="202" priority="344">
      <formula>($D268="")</formula>
    </cfRule>
  </conditionalFormatting>
  <conditionalFormatting sqref="D269">
    <cfRule type="expression" dxfId="201" priority="343">
      <formula>($D269="")</formula>
    </cfRule>
  </conditionalFormatting>
  <conditionalFormatting sqref="D270">
    <cfRule type="expression" dxfId="200" priority="342">
      <formula>($D270="")</formula>
    </cfRule>
  </conditionalFormatting>
  <conditionalFormatting sqref="D272">
    <cfRule type="expression" dxfId="199" priority="341">
      <formula>($D272="")</formula>
    </cfRule>
  </conditionalFormatting>
  <conditionalFormatting sqref="D273">
    <cfRule type="expression" dxfId="198" priority="340">
      <formula>($D273="")</formula>
    </cfRule>
  </conditionalFormatting>
  <conditionalFormatting sqref="D275">
    <cfRule type="expression" dxfId="197" priority="339">
      <formula>($D275="")</formula>
    </cfRule>
  </conditionalFormatting>
  <conditionalFormatting sqref="D276">
    <cfRule type="expression" dxfId="196" priority="338">
      <formula>($D276="")</formula>
    </cfRule>
  </conditionalFormatting>
  <conditionalFormatting sqref="D277">
    <cfRule type="expression" dxfId="195" priority="337">
      <formula>($D277="")</formula>
    </cfRule>
  </conditionalFormatting>
  <conditionalFormatting sqref="D278">
    <cfRule type="expression" dxfId="194" priority="336">
      <formula>($D278="")</formula>
    </cfRule>
  </conditionalFormatting>
  <conditionalFormatting sqref="D284">
    <cfRule type="expression" dxfId="193" priority="335">
      <formula>($D284="")</formula>
    </cfRule>
  </conditionalFormatting>
  <conditionalFormatting sqref="D285">
    <cfRule type="expression" dxfId="192" priority="334">
      <formula>($D285="")</formula>
    </cfRule>
  </conditionalFormatting>
  <conditionalFormatting sqref="D286">
    <cfRule type="expression" dxfId="191" priority="333">
      <formula>($D286="")</formula>
    </cfRule>
  </conditionalFormatting>
  <conditionalFormatting sqref="D287">
    <cfRule type="expression" dxfId="190" priority="332">
      <formula>($D287="")</formula>
    </cfRule>
  </conditionalFormatting>
  <conditionalFormatting sqref="D288">
    <cfRule type="expression" dxfId="189" priority="331">
      <formula>($D288="")</formula>
    </cfRule>
  </conditionalFormatting>
  <conditionalFormatting sqref="D289">
    <cfRule type="expression" dxfId="188" priority="330">
      <formula>($D289="")</formula>
    </cfRule>
  </conditionalFormatting>
  <conditionalFormatting sqref="G86">
    <cfRule type="expression" dxfId="187" priority="1222">
      <formula>($G89="")</formula>
    </cfRule>
  </conditionalFormatting>
  <conditionalFormatting sqref="G85">
    <cfRule type="expression" dxfId="186" priority="1224">
      <formula>($G89="")</formula>
    </cfRule>
  </conditionalFormatting>
  <conditionalFormatting sqref="G84">
    <cfRule type="expression" dxfId="185" priority="1225">
      <formula>($G89="")</formula>
    </cfRule>
  </conditionalFormatting>
  <conditionalFormatting sqref="G83">
    <cfRule type="expression" dxfId="184" priority="1226">
      <formula>($G89="")</formula>
    </cfRule>
  </conditionalFormatting>
  <conditionalFormatting sqref="G82">
    <cfRule type="expression" dxfId="183" priority="1227">
      <formula>($G89="")</formula>
    </cfRule>
  </conditionalFormatting>
  <conditionalFormatting sqref="G81">
    <cfRule type="expression" dxfId="182" priority="1228">
      <formula>($G89="")</formula>
    </cfRule>
  </conditionalFormatting>
  <conditionalFormatting sqref="G80">
    <cfRule type="expression" dxfId="181" priority="1229">
      <formula>($G89="")</formula>
    </cfRule>
  </conditionalFormatting>
  <conditionalFormatting sqref="G77:G79">
    <cfRule type="expression" dxfId="180" priority="1230">
      <formula>($G87="")</formula>
    </cfRule>
  </conditionalFormatting>
  <conditionalFormatting sqref="C217 C219:C220">
    <cfRule type="expression" dxfId="179" priority="322">
      <formula>($C217="")</formula>
    </cfRule>
  </conditionalFormatting>
  <conditionalFormatting sqref="Q217 Q219:Q220">
    <cfRule type="expression" dxfId="178" priority="320">
      <formula>($Q217="√")</formula>
    </cfRule>
  </conditionalFormatting>
  <conditionalFormatting sqref="C217 C219:C220">
    <cfRule type="expression" dxfId="177" priority="316">
      <formula>($C217="")</formula>
    </cfRule>
  </conditionalFormatting>
  <conditionalFormatting sqref="Q217 Q219:Q220">
    <cfRule type="expression" dxfId="176" priority="315">
      <formula>($Q217="V")</formula>
    </cfRule>
  </conditionalFormatting>
  <conditionalFormatting sqref="C217 C219:C220">
    <cfRule type="expression" dxfId="175" priority="312">
      <formula>($C217="")</formula>
    </cfRule>
  </conditionalFormatting>
  <conditionalFormatting sqref="Q217 Q219:Q220">
    <cfRule type="expression" dxfId="174" priority="311">
      <formula>($Q217="V")</formula>
    </cfRule>
  </conditionalFormatting>
  <conditionalFormatting sqref="C217 C219:C220">
    <cfRule type="expression" dxfId="173" priority="310">
      <formula>($C217="")</formula>
    </cfRule>
  </conditionalFormatting>
  <conditionalFormatting sqref="Q217 Q219:Q220">
    <cfRule type="expression" dxfId="172" priority="309">
      <formula>($Q217="V")</formula>
    </cfRule>
  </conditionalFormatting>
  <conditionalFormatting sqref="K232">
    <cfRule type="expression" dxfId="171" priority="307">
      <formula>($K232="")</formula>
    </cfRule>
  </conditionalFormatting>
  <conditionalFormatting sqref="K284">
    <cfRule type="expression" dxfId="170" priority="285">
      <formula>($K284="")</formula>
    </cfRule>
  </conditionalFormatting>
  <conditionalFormatting sqref="C217">
    <cfRule type="expression" dxfId="169" priority="234">
      <formula>($C217="")</formula>
    </cfRule>
  </conditionalFormatting>
  <conditionalFormatting sqref="G217">
    <cfRule type="expression" dxfId="168" priority="233">
      <formula>($G217="")</formula>
    </cfRule>
  </conditionalFormatting>
  <conditionalFormatting sqref="Q217">
    <cfRule type="expression" dxfId="167" priority="232">
      <formula>($Q217="√")</formula>
    </cfRule>
  </conditionalFormatting>
  <conditionalFormatting sqref="C219">
    <cfRule type="expression" dxfId="166" priority="231">
      <formula>($C219="")</formula>
    </cfRule>
  </conditionalFormatting>
  <conditionalFormatting sqref="G219">
    <cfRule type="expression" dxfId="165" priority="230">
      <formula>($G219="")</formula>
    </cfRule>
  </conditionalFormatting>
  <conditionalFormatting sqref="P217">
    <cfRule type="expression" dxfId="164" priority="229">
      <formula>($P217="")</formula>
    </cfRule>
  </conditionalFormatting>
  <conditionalFormatting sqref="Q217">
    <cfRule type="expression" dxfId="163" priority="228">
      <formula>($Q217="√")</formula>
    </cfRule>
  </conditionalFormatting>
  <conditionalFormatting sqref="Q219:Q220">
    <cfRule type="expression" dxfId="162" priority="227">
      <formula>($Q219="√")</formula>
    </cfRule>
  </conditionalFormatting>
  <conditionalFormatting sqref="P219">
    <cfRule type="expression" dxfId="161" priority="225">
      <formula>($P219="")</formula>
    </cfRule>
  </conditionalFormatting>
  <conditionalFormatting sqref="D217">
    <cfRule type="expression" dxfId="160" priority="223">
      <formula>($D217="")</formula>
    </cfRule>
  </conditionalFormatting>
  <conditionalFormatting sqref="D219">
    <cfRule type="expression" dxfId="159" priority="222">
      <formula>($D219="")</formula>
    </cfRule>
  </conditionalFormatting>
  <conditionalFormatting sqref="P13">
    <cfRule type="expression" dxfId="158" priority="220">
      <formula>($P13="")</formula>
    </cfRule>
  </conditionalFormatting>
  <conditionalFormatting sqref="P11:Q11 P12">
    <cfRule type="containsBlanks" dxfId="157" priority="219">
      <formula>LEN(TRIM(P11))=0</formula>
    </cfRule>
  </conditionalFormatting>
  <conditionalFormatting sqref="D220">
    <cfRule type="expression" dxfId="156" priority="218">
      <formula>($D220="")</formula>
    </cfRule>
  </conditionalFormatting>
  <conditionalFormatting sqref="G210">
    <cfRule type="expression" dxfId="155" priority="215">
      <formula>($G210="")</formula>
    </cfRule>
  </conditionalFormatting>
  <conditionalFormatting sqref="G214">
    <cfRule type="expression" dxfId="154" priority="214">
      <formula>($G214="")</formula>
    </cfRule>
  </conditionalFormatting>
  <conditionalFormatting sqref="G208">
    <cfRule type="expression" dxfId="153" priority="213">
      <formula>($G208="")</formula>
    </cfRule>
  </conditionalFormatting>
  <conditionalFormatting sqref="G207">
    <cfRule type="expression" dxfId="152" priority="212">
      <formula>($G207="")</formula>
    </cfRule>
  </conditionalFormatting>
  <conditionalFormatting sqref="G220">
    <cfRule type="expression" dxfId="151" priority="211">
      <formula>($G220="")</formula>
    </cfRule>
  </conditionalFormatting>
  <conditionalFormatting sqref="G244">
    <cfRule type="expression" dxfId="150" priority="209">
      <formula>($G244="")</formula>
    </cfRule>
  </conditionalFormatting>
  <conditionalFormatting sqref="G269">
    <cfRule type="expression" dxfId="149" priority="208">
      <formula>($G269="")</formula>
    </cfRule>
  </conditionalFormatting>
  <conditionalFormatting sqref="G270">
    <cfRule type="expression" dxfId="148" priority="207">
      <formula>($G270="")</formula>
    </cfRule>
  </conditionalFormatting>
  <conditionalFormatting sqref="G284">
    <cfRule type="expression" dxfId="147" priority="206">
      <formula>($G284="")</formula>
    </cfRule>
  </conditionalFormatting>
  <conditionalFormatting sqref="G285">
    <cfRule type="expression" dxfId="146" priority="205">
      <formula>($G285="")</formula>
    </cfRule>
  </conditionalFormatting>
  <conditionalFormatting sqref="G286">
    <cfRule type="expression" dxfId="145" priority="204">
      <formula>($G286="")</formula>
    </cfRule>
  </conditionalFormatting>
  <conditionalFormatting sqref="G287">
    <cfRule type="expression" dxfId="144" priority="203">
      <formula>($G287="")</formula>
    </cfRule>
  </conditionalFormatting>
  <conditionalFormatting sqref="G288">
    <cfRule type="expression" dxfId="143" priority="202">
      <formula>($G288="")</formula>
    </cfRule>
  </conditionalFormatting>
  <conditionalFormatting sqref="G289">
    <cfRule type="expression" dxfId="142" priority="201">
      <formula>($G289="")</formula>
    </cfRule>
  </conditionalFormatting>
  <conditionalFormatting sqref="K210">
    <cfRule type="expression" dxfId="141" priority="194">
      <formula>($K210="")</formula>
    </cfRule>
  </conditionalFormatting>
  <conditionalFormatting sqref="K211">
    <cfRule type="expression" dxfId="140" priority="193">
      <formula>($K211="")</formula>
    </cfRule>
  </conditionalFormatting>
  <conditionalFormatting sqref="K213">
    <cfRule type="expression" dxfId="139" priority="192">
      <formula>($K213="")</formula>
    </cfRule>
  </conditionalFormatting>
  <conditionalFormatting sqref="K214">
    <cfRule type="expression" dxfId="138" priority="191">
      <formula>($K214="")</formula>
    </cfRule>
  </conditionalFormatting>
  <conditionalFormatting sqref="K217">
    <cfRule type="expression" dxfId="137" priority="190">
      <formula>($K217="")</formula>
    </cfRule>
  </conditionalFormatting>
  <conditionalFormatting sqref="K219">
    <cfRule type="expression" dxfId="136" priority="189">
      <formula>($K219="")</formula>
    </cfRule>
  </conditionalFormatting>
  <conditionalFormatting sqref="K220">
    <cfRule type="expression" dxfId="135" priority="188">
      <formula>($K220="")</formula>
    </cfRule>
  </conditionalFormatting>
  <conditionalFormatting sqref="K233">
    <cfRule type="expression" dxfId="134" priority="187">
      <formula>($K233="")</formula>
    </cfRule>
  </conditionalFormatting>
  <conditionalFormatting sqref="K234">
    <cfRule type="expression" dxfId="133" priority="186">
      <formula>($K234="")</formula>
    </cfRule>
  </conditionalFormatting>
  <conditionalFormatting sqref="K235">
    <cfRule type="expression" dxfId="132" priority="185">
      <formula>($K235="")</formula>
    </cfRule>
  </conditionalFormatting>
  <conditionalFormatting sqref="K269">
    <cfRule type="expression" dxfId="131" priority="184">
      <formula>($K269="")</formula>
    </cfRule>
  </conditionalFormatting>
  <conditionalFormatting sqref="K270">
    <cfRule type="expression" dxfId="130" priority="183">
      <formula>($K270="")</formula>
    </cfRule>
  </conditionalFormatting>
  <conditionalFormatting sqref="K285">
    <cfRule type="expression" dxfId="129" priority="182">
      <formula>($K285="")</formula>
    </cfRule>
  </conditionalFormatting>
  <conditionalFormatting sqref="K286">
    <cfRule type="expression" dxfId="128" priority="181">
      <formula>($K286="")</formula>
    </cfRule>
  </conditionalFormatting>
  <conditionalFormatting sqref="K287">
    <cfRule type="expression" dxfId="127" priority="180">
      <formula>($K287="")</formula>
    </cfRule>
  </conditionalFormatting>
  <conditionalFormatting sqref="K288">
    <cfRule type="expression" dxfId="126" priority="179">
      <formula>($K288="")</formula>
    </cfRule>
  </conditionalFormatting>
  <conditionalFormatting sqref="K289">
    <cfRule type="expression" dxfId="125" priority="178">
      <formula>($K289="")</formula>
    </cfRule>
  </conditionalFormatting>
  <conditionalFormatting sqref="P284">
    <cfRule type="expression" dxfId="124" priority="162">
      <formula>($P284="")</formula>
    </cfRule>
  </conditionalFormatting>
  <conditionalFormatting sqref="P285">
    <cfRule type="expression" dxfId="123" priority="161">
      <formula>($P285="")</formula>
    </cfRule>
  </conditionalFormatting>
  <conditionalFormatting sqref="P286">
    <cfRule type="expression" dxfId="122" priority="160">
      <formula>($P286="")</formula>
    </cfRule>
  </conditionalFormatting>
  <conditionalFormatting sqref="P287">
    <cfRule type="expression" dxfId="121" priority="159">
      <formula>($P287="")</formula>
    </cfRule>
  </conditionalFormatting>
  <conditionalFormatting sqref="P288">
    <cfRule type="expression" dxfId="120" priority="158">
      <formula>($P288="")</formula>
    </cfRule>
  </conditionalFormatting>
  <conditionalFormatting sqref="P289">
    <cfRule type="expression" dxfId="119" priority="157">
      <formula>($P289="")</formula>
    </cfRule>
  </conditionalFormatting>
  <conditionalFormatting sqref="P220">
    <cfRule type="expression" dxfId="118" priority="156">
      <formula>($P220="")</formula>
    </cfRule>
  </conditionalFormatting>
  <conditionalFormatting sqref="P214">
    <cfRule type="expression" dxfId="117" priority="155">
      <formula>($P214="")</formula>
    </cfRule>
  </conditionalFormatting>
  <conditionalFormatting sqref="P169">
    <cfRule type="expression" dxfId="116" priority="154">
      <formula>($P169="")</formula>
    </cfRule>
  </conditionalFormatting>
  <conditionalFormatting sqref="P170">
    <cfRule type="expression" dxfId="115" priority="153">
      <formula>($P170="")</formula>
    </cfRule>
  </conditionalFormatting>
  <conditionalFormatting sqref="P171">
    <cfRule type="expression" dxfId="114" priority="152">
      <formula>($P171="")</formula>
    </cfRule>
  </conditionalFormatting>
  <conditionalFormatting sqref="K24">
    <cfRule type="expression" dxfId="113" priority="150">
      <formula>($K24="")</formula>
    </cfRule>
  </conditionalFormatting>
  <conditionalFormatting sqref="K78">
    <cfRule type="expression" dxfId="112" priority="149">
      <formula>($K78="")</formula>
    </cfRule>
  </conditionalFormatting>
  <conditionalFormatting sqref="K79">
    <cfRule type="expression" dxfId="111" priority="148">
      <formula>($K79="")</formula>
    </cfRule>
  </conditionalFormatting>
  <conditionalFormatting sqref="K80">
    <cfRule type="expression" dxfId="110" priority="147">
      <formula>($K80="")</formula>
    </cfRule>
  </conditionalFormatting>
  <conditionalFormatting sqref="K81">
    <cfRule type="expression" dxfId="109" priority="146">
      <formula>($K81="")</formula>
    </cfRule>
  </conditionalFormatting>
  <conditionalFormatting sqref="K82">
    <cfRule type="expression" dxfId="108" priority="145">
      <formula>($K82="")</formula>
    </cfRule>
  </conditionalFormatting>
  <conditionalFormatting sqref="K83">
    <cfRule type="expression" dxfId="107" priority="144">
      <formula>($K83="")</formula>
    </cfRule>
  </conditionalFormatting>
  <conditionalFormatting sqref="K84">
    <cfRule type="expression" dxfId="106" priority="143">
      <formula>($K84="")</formula>
    </cfRule>
  </conditionalFormatting>
  <conditionalFormatting sqref="K85">
    <cfRule type="expression" dxfId="105" priority="142">
      <formula>($K85="")</formula>
    </cfRule>
  </conditionalFormatting>
  <conditionalFormatting sqref="K86">
    <cfRule type="expression" dxfId="104" priority="141">
      <formula>($K86="")</formula>
    </cfRule>
  </conditionalFormatting>
  <conditionalFormatting sqref="P78">
    <cfRule type="expression" dxfId="103" priority="140">
      <formula>($P78="")</formula>
    </cfRule>
  </conditionalFormatting>
  <conditionalFormatting sqref="P79">
    <cfRule type="expression" dxfId="102" priority="139">
      <formula>($P79="")</formula>
    </cfRule>
  </conditionalFormatting>
  <conditionalFormatting sqref="P80">
    <cfRule type="expression" dxfId="101" priority="138">
      <formula>($P80="")</formula>
    </cfRule>
  </conditionalFormatting>
  <conditionalFormatting sqref="P81">
    <cfRule type="expression" dxfId="100" priority="137">
      <formula>($P81="")</formula>
    </cfRule>
  </conditionalFormatting>
  <conditionalFormatting sqref="P82">
    <cfRule type="expression" dxfId="99" priority="136">
      <formula>($P82="")</formula>
    </cfRule>
  </conditionalFormatting>
  <conditionalFormatting sqref="P83">
    <cfRule type="expression" dxfId="98" priority="135">
      <formula>($P83="")</formula>
    </cfRule>
  </conditionalFormatting>
  <conditionalFormatting sqref="P84">
    <cfRule type="expression" dxfId="97" priority="134">
      <formula>($P84="")</formula>
    </cfRule>
  </conditionalFormatting>
  <conditionalFormatting sqref="P85">
    <cfRule type="expression" dxfId="96" priority="133">
      <formula>($P85="")</formula>
    </cfRule>
  </conditionalFormatting>
  <conditionalFormatting sqref="P86">
    <cfRule type="expression" dxfId="95" priority="132">
      <formula>($P86="")</formula>
    </cfRule>
  </conditionalFormatting>
  <conditionalFormatting sqref="D289">
    <cfRule type="expression" dxfId="94" priority="131">
      <formula>($D289="")</formula>
    </cfRule>
  </conditionalFormatting>
  <conditionalFormatting sqref="G289">
    <cfRule type="expression" dxfId="93" priority="130">
      <formula>($G289="")</formula>
    </cfRule>
  </conditionalFormatting>
  <conditionalFormatting sqref="K289">
    <cfRule type="expression" dxfId="92" priority="129">
      <formula>($K289="")</formula>
    </cfRule>
  </conditionalFormatting>
  <conditionalFormatting sqref="P289">
    <cfRule type="expression" dxfId="91" priority="128">
      <formula>($P289="")</formula>
    </cfRule>
  </conditionalFormatting>
  <conditionalFormatting sqref="R12">
    <cfRule type="expression" dxfId="90" priority="121" stopIfTrue="1">
      <formula>AND($R12="",$U$12=0)</formula>
    </cfRule>
  </conditionalFormatting>
  <conditionalFormatting sqref="R398:R407">
    <cfRule type="containsBlanks" dxfId="89" priority="1231" stopIfTrue="1">
      <formula>LEN(TRIM(R398))=0</formula>
    </cfRule>
  </conditionalFormatting>
  <conditionalFormatting sqref="S309 U298 S299 S313:S316 S189 S191 S181 U180 S112 S114 S103 U102 S196:S199 S307 S120:S127">
    <cfRule type="cellIs" dxfId="88" priority="112" stopIfTrue="1" operator="notEqual">
      <formula>0</formula>
    </cfRule>
  </conditionalFormatting>
  <conditionalFormatting sqref="C155:C157">
    <cfRule type="expression" dxfId="87" priority="82">
      <formula>($C155="")</formula>
    </cfRule>
  </conditionalFormatting>
  <conditionalFormatting sqref="K155:K157">
    <cfRule type="expression" dxfId="86" priority="81">
      <formula>($K155="")</formula>
    </cfRule>
  </conditionalFormatting>
  <conditionalFormatting sqref="P155:P157">
    <cfRule type="expression" dxfId="85" priority="80">
      <formula>($P155="")</formula>
    </cfRule>
  </conditionalFormatting>
  <conditionalFormatting sqref="E155:E157">
    <cfRule type="expression" dxfId="84" priority="79">
      <formula>($E155="")</formula>
    </cfRule>
  </conditionalFormatting>
  <conditionalFormatting sqref="D155:D157">
    <cfRule type="expression" dxfId="83" priority="78">
      <formula>($D155="")</formula>
    </cfRule>
  </conditionalFormatting>
  <conditionalFormatting sqref="C29:C36">
    <cfRule type="expression" dxfId="82" priority="77">
      <formula>($C29="")</formula>
    </cfRule>
  </conditionalFormatting>
  <conditionalFormatting sqref="K29:K36">
    <cfRule type="expression" dxfId="81" priority="76">
      <formula>($K29="")</formula>
    </cfRule>
  </conditionalFormatting>
  <conditionalFormatting sqref="F29:F36">
    <cfRule type="expression" dxfId="80" priority="75">
      <formula>($F29="")</formula>
    </cfRule>
  </conditionalFormatting>
  <conditionalFormatting sqref="G29:G36">
    <cfRule type="expression" dxfId="79" priority="74">
      <formula>($G29="")</formula>
    </cfRule>
  </conditionalFormatting>
  <conditionalFormatting sqref="H29:H36">
    <cfRule type="expression" dxfId="78" priority="73">
      <formula>($H29="")</formula>
    </cfRule>
  </conditionalFormatting>
  <conditionalFormatting sqref="E29:E36">
    <cfRule type="expression" dxfId="77" priority="72">
      <formula>($E29="")</formula>
    </cfRule>
  </conditionalFormatting>
  <conditionalFormatting sqref="P29:P36">
    <cfRule type="expression" dxfId="76" priority="71">
      <formula>($P29="")</formula>
    </cfRule>
  </conditionalFormatting>
  <conditionalFormatting sqref="D29:D36">
    <cfRule type="expression" dxfId="75" priority="70">
      <formula>($D29="")</formula>
    </cfRule>
  </conditionalFormatting>
  <conditionalFormatting sqref="C141:C148">
    <cfRule type="expression" dxfId="74" priority="69">
      <formula>($C141="")</formula>
    </cfRule>
  </conditionalFormatting>
  <conditionalFormatting sqref="K141:K148">
    <cfRule type="expression" dxfId="73" priority="68">
      <formula>($K141="")</formula>
    </cfRule>
  </conditionalFormatting>
  <conditionalFormatting sqref="P141:P148">
    <cfRule type="expression" dxfId="72" priority="67">
      <formula>($P141="")</formula>
    </cfRule>
  </conditionalFormatting>
  <conditionalFormatting sqref="E141:E148">
    <cfRule type="expression" dxfId="71" priority="66">
      <formula>($E141="")</formula>
    </cfRule>
  </conditionalFormatting>
  <conditionalFormatting sqref="D141:D148">
    <cfRule type="expression" dxfId="70" priority="65">
      <formula>($D141="")</formula>
    </cfRule>
  </conditionalFormatting>
  <conditionalFormatting sqref="C163:C165">
    <cfRule type="expression" dxfId="69" priority="64">
      <formula>($C163="")</formula>
    </cfRule>
  </conditionalFormatting>
  <conditionalFormatting sqref="K163:K165">
    <cfRule type="expression" dxfId="68" priority="63">
      <formula>($K163="")</formula>
    </cfRule>
  </conditionalFormatting>
  <conditionalFormatting sqref="Q163:Q165">
    <cfRule type="expression" dxfId="67" priority="62">
      <formula>($Q163="√")</formula>
    </cfRule>
  </conditionalFormatting>
  <conditionalFormatting sqref="P163:P165">
    <cfRule type="expression" dxfId="66" priority="61">
      <formula>($P163="")</formula>
    </cfRule>
  </conditionalFormatting>
  <conditionalFormatting sqref="E163:E165">
    <cfRule type="expression" dxfId="65" priority="60">
      <formula>($E163="")</formula>
    </cfRule>
  </conditionalFormatting>
  <conditionalFormatting sqref="D163:D165">
    <cfRule type="expression" dxfId="64" priority="59">
      <formula>($D163="")</formula>
    </cfRule>
  </conditionalFormatting>
  <conditionalFormatting sqref="C227">
    <cfRule type="expression" dxfId="63" priority="55">
      <formula>($C227="")</formula>
    </cfRule>
  </conditionalFormatting>
  <conditionalFormatting sqref="G227">
    <cfRule type="expression" dxfId="62" priority="54">
      <formula>($G227="")</formula>
    </cfRule>
  </conditionalFormatting>
  <conditionalFormatting sqref="Q227:Q230">
    <cfRule type="expression" dxfId="61" priority="53">
      <formula>($Q227="√")</formula>
    </cfRule>
  </conditionalFormatting>
  <conditionalFormatting sqref="G228">
    <cfRule type="expression" dxfId="60" priority="52">
      <formula>($G228="")</formula>
    </cfRule>
  </conditionalFormatting>
  <conditionalFormatting sqref="Q228">
    <cfRule type="expression" dxfId="59" priority="51">
      <formula>($Q228="√")</formula>
    </cfRule>
  </conditionalFormatting>
  <conditionalFormatting sqref="C228:C230">
    <cfRule type="expression" dxfId="58" priority="50">
      <formula>($C228="")</formula>
    </cfRule>
  </conditionalFormatting>
  <conditionalFormatting sqref="G229">
    <cfRule type="expression" dxfId="57" priority="49">
      <formula>($G229="")</formula>
    </cfRule>
  </conditionalFormatting>
  <conditionalFormatting sqref="G230">
    <cfRule type="expression" dxfId="56" priority="48">
      <formula>($G230="")</formula>
    </cfRule>
  </conditionalFormatting>
  <conditionalFormatting sqref="P227">
    <cfRule type="expression" dxfId="55" priority="47">
      <formula>($P227="")</formula>
    </cfRule>
  </conditionalFormatting>
  <conditionalFormatting sqref="P228">
    <cfRule type="expression" dxfId="54" priority="46">
      <formula>($P228="")</formula>
    </cfRule>
  </conditionalFormatting>
  <conditionalFormatting sqref="P229">
    <cfRule type="expression" dxfId="53" priority="45">
      <formula>($P229="")</formula>
    </cfRule>
  </conditionalFormatting>
  <conditionalFormatting sqref="P230">
    <cfRule type="expression" dxfId="52" priority="44">
      <formula>($P230="")</formula>
    </cfRule>
  </conditionalFormatting>
  <conditionalFormatting sqref="D227">
    <cfRule type="expression" dxfId="51" priority="43">
      <formula>($D227="")</formula>
    </cfRule>
  </conditionalFormatting>
  <conditionalFormatting sqref="D228">
    <cfRule type="expression" dxfId="50" priority="42">
      <formula>($D228="")</formula>
    </cfRule>
  </conditionalFormatting>
  <conditionalFormatting sqref="D229">
    <cfRule type="expression" dxfId="49" priority="41">
      <formula>($D229="")</formula>
    </cfRule>
  </conditionalFormatting>
  <conditionalFormatting sqref="D230">
    <cfRule type="expression" dxfId="48" priority="40">
      <formula>($D230="")</formula>
    </cfRule>
  </conditionalFormatting>
  <conditionalFormatting sqref="K227">
    <cfRule type="expression" dxfId="47" priority="39">
      <formula>($K227="")</formula>
    </cfRule>
  </conditionalFormatting>
  <conditionalFormatting sqref="K228">
    <cfRule type="expression" dxfId="46" priority="38">
      <formula>($K228="")</formula>
    </cfRule>
  </conditionalFormatting>
  <conditionalFormatting sqref="K229">
    <cfRule type="expression" dxfId="45" priority="37">
      <formula>($K229="")</formula>
    </cfRule>
  </conditionalFormatting>
  <conditionalFormatting sqref="K230">
    <cfRule type="expression" dxfId="44" priority="36">
      <formula>($K230="")</formula>
    </cfRule>
  </conditionalFormatting>
  <conditionalFormatting sqref="C228:C230">
    <cfRule type="expression" dxfId="43" priority="35">
      <formula>($C228="")</formula>
    </cfRule>
  </conditionalFormatting>
  <conditionalFormatting sqref="G225">
    <cfRule type="expression" dxfId="42" priority="31" stopIfTrue="1">
      <formula>AND($D$225&lt;&gt;"",$G$225="")</formula>
    </cfRule>
  </conditionalFormatting>
  <conditionalFormatting sqref="P135">
    <cfRule type="expression" dxfId="41" priority="28">
      <formula>($P135="")</formula>
    </cfRule>
  </conditionalFormatting>
  <conditionalFormatting sqref="E11">
    <cfRule type="expression" dxfId="40" priority="25">
      <formula>($D$11="")</formula>
    </cfRule>
    <cfRule type="expression" dxfId="39" priority="27">
      <formula>AND($D$11&lt;&gt;"",$E$11="")</formula>
    </cfRule>
  </conditionalFormatting>
  <conditionalFormatting sqref="Q135:Q136">
    <cfRule type="expression" dxfId="38" priority="23">
      <formula>($Q135="V")</formula>
    </cfRule>
  </conditionalFormatting>
  <conditionalFormatting sqref="Q20:Q22">
    <cfRule type="expression" dxfId="37" priority="22">
      <formula>($Q20="V")</formula>
    </cfRule>
  </conditionalFormatting>
  <conditionalFormatting sqref="Q207:Q208">
    <cfRule type="expression" dxfId="36" priority="21">
      <formula>($Q207="V")</formula>
    </cfRule>
  </conditionalFormatting>
  <conditionalFormatting sqref="G208">
    <cfRule type="expression" dxfId="35" priority="10">
      <formula>($G208="")</formula>
    </cfRule>
  </conditionalFormatting>
  <conditionalFormatting sqref="P22">
    <cfRule type="expression" dxfId="34" priority="18">
      <formula>($P22="")</formula>
    </cfRule>
  </conditionalFormatting>
  <conditionalFormatting sqref="K22">
    <cfRule type="expression" dxfId="33" priority="17">
      <formula>($K22="")</formula>
    </cfRule>
  </conditionalFormatting>
  <conditionalFormatting sqref="C22">
    <cfRule type="expression" dxfId="32" priority="16">
      <formula>($C22="")</formula>
    </cfRule>
  </conditionalFormatting>
  <conditionalFormatting sqref="D22">
    <cfRule type="expression" dxfId="31" priority="15">
      <formula>($D22="")</formula>
    </cfRule>
  </conditionalFormatting>
  <conditionalFormatting sqref="G22">
    <cfRule type="expression" dxfId="30" priority="14">
      <formula>($G22="")</formula>
    </cfRule>
  </conditionalFormatting>
  <conditionalFormatting sqref="K208">
    <cfRule type="expression" dxfId="29" priority="13">
      <formula>($K208="")</formula>
    </cfRule>
  </conditionalFormatting>
  <conditionalFormatting sqref="C208">
    <cfRule type="expression" dxfId="28" priority="12">
      <formula>($C208="")</formula>
    </cfRule>
  </conditionalFormatting>
  <conditionalFormatting sqref="D208">
    <cfRule type="expression" dxfId="27" priority="11">
      <formula>($D208="")</formula>
    </cfRule>
  </conditionalFormatting>
  <conditionalFormatting sqref="G207:G208">
    <cfRule type="expression" dxfId="26" priority="6">
      <formula>($G207="")</formula>
    </cfRule>
  </conditionalFormatting>
  <conditionalFormatting sqref="K207:K208">
    <cfRule type="expression" dxfId="25" priority="9">
      <formula>($K207="")</formula>
    </cfRule>
  </conditionalFormatting>
  <conditionalFormatting sqref="C207:C208">
    <cfRule type="expression" dxfId="24" priority="8">
      <formula>($C207="")</formula>
    </cfRule>
  </conditionalFormatting>
  <conditionalFormatting sqref="D207:D208">
    <cfRule type="expression" dxfId="23" priority="7">
      <formula>($D207="")</formula>
    </cfRule>
  </conditionalFormatting>
  <conditionalFormatting sqref="S328">
    <cfRule type="cellIs" dxfId="22" priority="5" stopIfTrue="1" operator="notEqual">
      <formula>0</formula>
    </cfRule>
  </conditionalFormatting>
  <conditionalFormatting sqref="C5">
    <cfRule type="expression" dxfId="21" priority="4">
      <formula>$C5=""</formula>
    </cfRule>
  </conditionalFormatting>
  <conditionalFormatting sqref="D267">
    <cfRule type="expression" dxfId="20" priority="2">
      <formula>($D267="")</formula>
    </cfRule>
  </conditionalFormatting>
  <conditionalFormatting sqref="C6:R6">
    <cfRule type="expression" dxfId="19" priority="1">
      <formula>($C6="")</formula>
    </cfRule>
  </conditionalFormatting>
  <dataValidations count="71"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type="decimal" operator="greaterThanOrEqual" allowBlank="1" showInputMessage="1" showErrorMessage="1" sqref="K407 N398:N406">
      <formula1>0</formula1>
    </dataValidation>
    <dataValidation errorStyle="information" allowBlank="1" showInputMessage="1" showErrorMessage="1" errorTitle="Предупреждение:" error="Коэффициент не предусмотрен сборником" sqref="E250:F250 E213:F214 E219:F220 E224:F224 E279:G279"/>
    <dataValidation type="list" errorStyle="information" allowBlank="1" showInputMessage="1" showErrorMessage="1" errorTitle="Предупреждение:" error="Такой балльности не предусмотрено" sqref="G284:G289 G61:G67 G76:G87 G89 G69:G73 G24:G43 G50:G54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284:C289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83 K20:K22 K168:K172 K135:K136 K24:K43 K207:K208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241:C244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246:C249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255:C262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67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68:C270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72:C273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276 C278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275 C277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255:G262 G213:G214 G210:G211 G22 G216:G217 G219:G220 G232:G235 G272:G273 G241:G244 G275:G278 G246:G249 G267:G270 G227:G230 G207:G208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41:K244 K275:K278 K255:K262 K246:K249 K272:K273 K284:K289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84:K289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2:C233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34:C235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32:K235 K227:K230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27:C230">
      <formula1>Здания_КРУЭ__ЗРУ__укомплектованных_оборудованием</formula1>
    </dataValidation>
    <dataValidation type="list" allowBlank="1" showInputMessage="1" showErrorMessage="1" sqref="G225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67:K270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219:C220 C213:C214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19:K220 K213:K214 K210:K211 K216:K217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17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16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11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10">
      <formula1>Открытые_подстанции_в_целом</formula1>
    </dataValidation>
    <dataValidation type="list" errorStyle="information" allowBlank="1" showInputMessage="1" showErrorMessage="1" errorTitle="Предупреждение:" error="Нет таких ПС в сборнике" sqref="C22">
      <formula1>Отвод_земель_ПС_20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62:K166 K154:K158 K138:K152 K45:K48 K50:K54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162:C166">
      <formula1>Прокладка_ВОЛС_в_траншее</formula1>
    </dataValidation>
    <dataValidation type="list" errorStyle="information" allowBlank="1" showInputMessage="1" showErrorMessage="1" errorTitle="Предупреждение:" error="Вид КЛ не содержится в сборнике" sqref="C138:C152">
      <formula1>Кабельные_линии</formula1>
    </dataValidation>
    <dataValidation type="list" errorStyle="information" allowBlank="1" showInputMessage="1" showErrorMessage="1" errorTitle="Предупреждение:" error="Переход не содержится в сборнике" sqref="C154">
      <formula1>Стоимость_специальных_переходов</formula1>
    </dataValidation>
    <dataValidation type="list" errorStyle="information" allowBlank="1" showInputMessage="1" showErrorMessage="1" errorTitle="Предупреждение" error="Переход не содержится в сборнике" sqref="C155:C158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работ не содержится в сборнике" sqref="C168:C171">
      <formula1>Восстановление_покрытий</formula1>
    </dataValidation>
    <dataValidation type="list" errorStyle="information" allowBlank="1" showInputMessage="1" showErrorMessage="1" errorTitle="Предупреждение" error="Вид работ не содержится в сборнике" sqref="C172">
      <formula1>Восстановление_покрытий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68:F172 F154:F158 F138:F152 F162:F166">
      <formula1>Под_напр_КЛ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68:E172 E154:E158 E138:E152 E162:E166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89 F45:F48 F24:F43 F76:F87 F69:F73 F61:F67 F50:F54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89 E45:E48 E24:E43 E76:E87 E69:E73 E61:E67 E50:E54">
      <formula1>Условия_ВЛ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89">
      <formula1>0</formula1>
    </dataValidation>
    <dataValidation type="list" errorStyle="information" allowBlank="1" showInputMessage="1" showErrorMessage="1" errorTitle="Предупреждение:" error="Нет такой ВЛ в сборнике" sqref="C89:D89">
      <formula1>Снижение_стоимости_двухцепной_ВЛ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89 H76:H87 H24:H43">
      <formula1>ветер</formula1>
    </dataValidation>
    <dataValidation type="whole" operator="greaterThan" allowBlank="1" showInputMessage="1" showErrorMessage="1" errorTitle="Неправильный ввод" error="количество должно быть целым" sqref="K61:K67 K69:K73">
      <formula1>0</formula1>
    </dataValidation>
    <dataValidation type="list" errorStyle="information" allowBlank="1" showInputMessage="1" showErrorMessage="1" errorTitle="Предупреждение:" error="Нет таких работ в сборнике" sqref="C76:C78">
      <formula1>Демонтаж_ВЛ</formula1>
    </dataValidation>
    <dataValidation type="list" errorStyle="information" allowBlank="1" showInputMessage="1" showErrorMessage="1" errorTitle="Предупреждение:" error="Нет такого КТП в сборнике" sqref="C61:C67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" error="Реклоузера нет в сборнике" sqref="C70:C73">
      <formula1>"Реклоузер PBA/TEL-10-12,5/630"</formula1>
    </dataValidation>
    <dataValidation type="list" errorStyle="information" allowBlank="1" showInputMessage="1" showErrorMessage="1" errorTitle="Предупреждение:" error="Нет таких работ в сборнике" sqref="C79:C81">
      <formula1>Демонтаж_ВЛ_0_4_10_кВ_поопорно</formula1>
    </dataValidation>
    <dataValidation type="list" errorStyle="information" allowBlank="1" showInputMessage="1" showErrorMessage="1" errorTitle="Предупреждение:" error="Нет таких работ в сборнике" sqref="C82:C84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85:C87">
      <formula1>Демонтаж_стальных_опор_ВЛ_35_220_кВ__тыс._руб._за_1_т</formula1>
    </dataValidation>
    <dataValidation type="decimal" operator="greaterThan" allowBlank="1" showInputMessage="1" showErrorMessage="1" sqref="K76:K87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50:C54">
      <formula1>Подвеска_ВОЛС_на_существующих_опорах</formula1>
    </dataValidation>
    <dataValidation type="list" errorStyle="information" allowBlank="1" showInputMessage="1" showErrorMessage="1" errorTitle="Предупреждение:" error="Такой балльности не предусмотрено" sqref="G45:G48">
      <formula1>"1.020,1.030,1.040"</formula1>
    </dataValidation>
    <dataValidation type="list" errorStyle="information" allowBlank="1" showInputMessage="1" showErrorMessage="1" errorTitle="Предупреждение:" error="Вид работ не содержится в сборнике" sqref="C45">
      <formula1>Затраты_на_вырубку_просеки</formula1>
    </dataValidation>
    <dataValidation type="list" errorStyle="information" allowBlank="1" showInputMessage="1" showErrorMessage="1" errorTitle="Предупреждение" error="Вид работ не содержится в сборнике" sqref="C47:C48">
      <formula1>Затраты_на_устройство_лежневых_дорог</formula1>
    </dataValidation>
    <dataValidation type="list" errorStyle="information" allowBlank="1" showInputMessage="1" showErrorMessage="1" errorTitle="Предупреждение:" error="Вид ВЛ не содержится в сборнике" sqref="C24:C43">
      <formula1>Воздушные_линии</formula1>
    </dataValidation>
    <dataValidation type="list" errorStyle="warning" allowBlank="1" showInputMessage="1" showErrorMessage="1" errorTitle="Предупреждение:" error="Вид ВЛ не содержится в сборнике" sqref="C20:C21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allowBlank="1" showInputMessage="1" showErrorMessage="1" promptTitle="Введите:" prompt="Полное наименование комплекса электросетевых объектов" sqref="C6:R6"/>
    <dataValidation type="list" allowBlank="1" showInputMessage="1" showErrorMessage="1" sqref="P11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allowBlank="1" showInputMessage="1" showErrorMessage="1" sqref="C13">
      <formula1>Расширение_ПС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errorStyle="information" allowBlank="1" showInputMessage="1" showErrorMessage="1" errorTitle="Предупреждение" error="Вид работ не содержится в сборнике" sqref="C46">
      <formula1>Затраты_на_вырубку_просеки</formula1>
    </dataValidation>
    <dataValidation type="list" allowBlank="1" showInputMessage="1" showErrorMessage="1" sqref="C135:C136">
      <formula1>Постоянный_отвод_земель_под_КЛ</formula1>
    </dataValidation>
    <dataValidation type="list" errorStyle="information" allowBlank="1" showInputMessage="1" showErrorMessage="1" errorTitle="Предупреждение:" error="Нет таких ПС в сборнике" sqref="C207:C208">
      <formula1>Отвод_земель_ПС_35_220</formula1>
    </dataValidation>
    <dataValidation type="list" errorStyle="information" allowBlank="1" showInputMessage="1" showErrorMessage="1" errorTitle="Предупреждение" error="Реклоузера нет в сборнике" sqref="C69">
      <formula1>"Реклоузер"</formula1>
    </dataValidation>
  </dataValidations>
  <pageMargins left="0.51181102362204722" right="0.31496062992125984" top="0.74803149606299213" bottom="0.74803149606299213" header="0.31496062992125984" footer="0.31496062992125984"/>
  <pageSetup paperSize="9" scale="52" fitToHeight="3" orientation="landscape" r:id="rId1"/>
  <rowBreaks count="1" manualBreakCount="1">
    <brk id="318" max="1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803" r:id="rId4" name="Button 6603">
              <controlPr defaultSize="0" print="0" autoFill="0" autoPict="0" macro="[0]!Расчет_стоимости_Кнопка1_Щелчок">
                <anchor moveWithCells="1">
                  <from>
                    <xdr:col>32</xdr:col>
                    <xdr:colOff>0</xdr:colOff>
                    <xdr:row>3</xdr:row>
                    <xdr:rowOff>0</xdr:rowOff>
                  </from>
                  <to>
                    <xdr:col>34</xdr:col>
                    <xdr:colOff>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804" r:id="rId5" name="Button 6604">
              <controlPr defaultSize="0" print="0" autoFill="0" autoPict="0" macro="[0]!Расчет_стоимости_Кнопка2_Щелчок">
                <anchor moveWithCells="1">
                  <from>
                    <xdr:col>32</xdr:col>
                    <xdr:colOff>9525</xdr:colOff>
                    <xdr:row>5</xdr:row>
                    <xdr:rowOff>266700</xdr:rowOff>
                  </from>
                  <to>
                    <xdr:col>34</xdr:col>
                    <xdr:colOff>0</xdr:colOff>
                    <xdr:row>8</xdr:row>
                    <xdr:rowOff>66675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information" allowBlank="1" showInputMessage="1" showErrorMessage="1" promptTitle="Введите:" prompt="Наименование филиала ДЗО">
          <x14:formula1>
            <xm:f>Удельники!$A$1:$A$7</xm:f>
          </x14:formula1>
          <xm:sqref>C9:D9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"/>
  <sheetViews>
    <sheetView workbookViewId="0">
      <selection activeCell="C8" sqref="C8"/>
    </sheetView>
  </sheetViews>
  <sheetFormatPr defaultRowHeight="15" x14ac:dyDescent="0.25"/>
  <cols>
    <col min="1" max="1" width="16.85546875" style="43" customWidth="1"/>
    <col min="2" max="2" width="9.140625" style="43"/>
    <col min="3" max="3" width="13.7109375" style="43" customWidth="1"/>
    <col min="4" max="5" width="10.140625" style="43" bestFit="1" customWidth="1"/>
    <col min="6" max="6" width="16.85546875" style="43" customWidth="1"/>
    <col min="7" max="7" width="12" style="43" customWidth="1"/>
    <col min="8" max="8" width="16.85546875" style="43" customWidth="1"/>
    <col min="9" max="9" width="10.140625" style="43" bestFit="1" customWidth="1"/>
    <col min="10" max="10" width="13" style="43" customWidth="1"/>
    <col min="11" max="15" width="11.28515625" style="43" customWidth="1"/>
    <col min="16" max="256" width="9.140625" style="43"/>
    <col min="257" max="257" width="16.85546875" style="43" customWidth="1"/>
    <col min="258" max="258" width="9.140625" style="43"/>
    <col min="259" max="259" width="9.85546875" style="43" bestFit="1" customWidth="1"/>
    <col min="260" max="261" width="10.140625" style="43" bestFit="1" customWidth="1"/>
    <col min="262" max="262" width="16.85546875" style="43" customWidth="1"/>
    <col min="263" max="263" width="9.140625" style="43"/>
    <col min="264" max="264" width="16.85546875" style="43" customWidth="1"/>
    <col min="265" max="265" width="10.140625" style="43" bestFit="1" customWidth="1"/>
    <col min="266" max="266" width="13" style="43" customWidth="1"/>
    <col min="267" max="512" width="9.140625" style="43"/>
    <col min="513" max="513" width="16.85546875" style="43" customWidth="1"/>
    <col min="514" max="514" width="9.140625" style="43"/>
    <col min="515" max="515" width="9.85546875" style="43" bestFit="1" customWidth="1"/>
    <col min="516" max="517" width="10.140625" style="43" bestFit="1" customWidth="1"/>
    <col min="518" max="518" width="16.85546875" style="43" customWidth="1"/>
    <col min="519" max="519" width="9.140625" style="43"/>
    <col min="520" max="520" width="16.85546875" style="43" customWidth="1"/>
    <col min="521" max="521" width="10.140625" style="43" bestFit="1" customWidth="1"/>
    <col min="522" max="522" width="13" style="43" customWidth="1"/>
    <col min="523" max="768" width="9.140625" style="43"/>
    <col min="769" max="769" width="16.85546875" style="43" customWidth="1"/>
    <col min="770" max="770" width="9.140625" style="43"/>
    <col min="771" max="771" width="9.85546875" style="43" bestFit="1" customWidth="1"/>
    <col min="772" max="773" width="10.140625" style="43" bestFit="1" customWidth="1"/>
    <col min="774" max="774" width="16.85546875" style="43" customWidth="1"/>
    <col min="775" max="775" width="9.140625" style="43"/>
    <col min="776" max="776" width="16.85546875" style="43" customWidth="1"/>
    <col min="777" max="777" width="10.140625" style="43" bestFit="1" customWidth="1"/>
    <col min="778" max="778" width="13" style="43" customWidth="1"/>
    <col min="779" max="1024" width="9.140625" style="43"/>
    <col min="1025" max="1025" width="16.85546875" style="43" customWidth="1"/>
    <col min="1026" max="1026" width="9.140625" style="43"/>
    <col min="1027" max="1027" width="9.85546875" style="43" bestFit="1" customWidth="1"/>
    <col min="1028" max="1029" width="10.140625" style="43" bestFit="1" customWidth="1"/>
    <col min="1030" max="1030" width="16.85546875" style="43" customWidth="1"/>
    <col min="1031" max="1031" width="9.140625" style="43"/>
    <col min="1032" max="1032" width="16.85546875" style="43" customWidth="1"/>
    <col min="1033" max="1033" width="10.140625" style="43" bestFit="1" customWidth="1"/>
    <col min="1034" max="1034" width="13" style="43" customWidth="1"/>
    <col min="1035" max="1280" width="9.140625" style="43"/>
    <col min="1281" max="1281" width="16.85546875" style="43" customWidth="1"/>
    <col min="1282" max="1282" width="9.140625" style="43"/>
    <col min="1283" max="1283" width="9.85546875" style="43" bestFit="1" customWidth="1"/>
    <col min="1284" max="1285" width="10.140625" style="43" bestFit="1" customWidth="1"/>
    <col min="1286" max="1286" width="16.85546875" style="43" customWidth="1"/>
    <col min="1287" max="1287" width="9.140625" style="43"/>
    <col min="1288" max="1288" width="16.85546875" style="43" customWidth="1"/>
    <col min="1289" max="1289" width="10.140625" style="43" bestFit="1" customWidth="1"/>
    <col min="1290" max="1290" width="13" style="43" customWidth="1"/>
    <col min="1291" max="1536" width="9.140625" style="43"/>
    <col min="1537" max="1537" width="16.85546875" style="43" customWidth="1"/>
    <col min="1538" max="1538" width="9.140625" style="43"/>
    <col min="1539" max="1539" width="9.85546875" style="43" bestFit="1" customWidth="1"/>
    <col min="1540" max="1541" width="10.140625" style="43" bestFit="1" customWidth="1"/>
    <col min="1542" max="1542" width="16.85546875" style="43" customWidth="1"/>
    <col min="1543" max="1543" width="9.140625" style="43"/>
    <col min="1544" max="1544" width="16.85546875" style="43" customWidth="1"/>
    <col min="1545" max="1545" width="10.140625" style="43" bestFit="1" customWidth="1"/>
    <col min="1546" max="1546" width="13" style="43" customWidth="1"/>
    <col min="1547" max="1792" width="9.140625" style="43"/>
    <col min="1793" max="1793" width="16.85546875" style="43" customWidth="1"/>
    <col min="1794" max="1794" width="9.140625" style="43"/>
    <col min="1795" max="1795" width="9.85546875" style="43" bestFit="1" customWidth="1"/>
    <col min="1796" max="1797" width="10.140625" style="43" bestFit="1" customWidth="1"/>
    <col min="1798" max="1798" width="16.85546875" style="43" customWidth="1"/>
    <col min="1799" max="1799" width="9.140625" style="43"/>
    <col min="1800" max="1800" width="16.85546875" style="43" customWidth="1"/>
    <col min="1801" max="1801" width="10.140625" style="43" bestFit="1" customWidth="1"/>
    <col min="1802" max="1802" width="13" style="43" customWidth="1"/>
    <col min="1803" max="2048" width="9.140625" style="43"/>
    <col min="2049" max="2049" width="16.85546875" style="43" customWidth="1"/>
    <col min="2050" max="2050" width="9.140625" style="43"/>
    <col min="2051" max="2051" width="9.85546875" style="43" bestFit="1" customWidth="1"/>
    <col min="2052" max="2053" width="10.140625" style="43" bestFit="1" customWidth="1"/>
    <col min="2054" max="2054" width="16.85546875" style="43" customWidth="1"/>
    <col min="2055" max="2055" width="9.140625" style="43"/>
    <col min="2056" max="2056" width="16.85546875" style="43" customWidth="1"/>
    <col min="2057" max="2057" width="10.140625" style="43" bestFit="1" customWidth="1"/>
    <col min="2058" max="2058" width="13" style="43" customWidth="1"/>
    <col min="2059" max="2304" width="9.140625" style="43"/>
    <col min="2305" max="2305" width="16.85546875" style="43" customWidth="1"/>
    <col min="2306" max="2306" width="9.140625" style="43"/>
    <col min="2307" max="2307" width="9.85546875" style="43" bestFit="1" customWidth="1"/>
    <col min="2308" max="2309" width="10.140625" style="43" bestFit="1" customWidth="1"/>
    <col min="2310" max="2310" width="16.85546875" style="43" customWidth="1"/>
    <col min="2311" max="2311" width="9.140625" style="43"/>
    <col min="2312" max="2312" width="16.85546875" style="43" customWidth="1"/>
    <col min="2313" max="2313" width="10.140625" style="43" bestFit="1" customWidth="1"/>
    <col min="2314" max="2314" width="13" style="43" customWidth="1"/>
    <col min="2315" max="2560" width="9.140625" style="43"/>
    <col min="2561" max="2561" width="16.85546875" style="43" customWidth="1"/>
    <col min="2562" max="2562" width="9.140625" style="43"/>
    <col min="2563" max="2563" width="9.85546875" style="43" bestFit="1" customWidth="1"/>
    <col min="2564" max="2565" width="10.140625" style="43" bestFit="1" customWidth="1"/>
    <col min="2566" max="2566" width="16.85546875" style="43" customWidth="1"/>
    <col min="2567" max="2567" width="9.140625" style="43"/>
    <col min="2568" max="2568" width="16.85546875" style="43" customWidth="1"/>
    <col min="2569" max="2569" width="10.140625" style="43" bestFit="1" customWidth="1"/>
    <col min="2570" max="2570" width="13" style="43" customWidth="1"/>
    <col min="2571" max="2816" width="9.140625" style="43"/>
    <col min="2817" max="2817" width="16.85546875" style="43" customWidth="1"/>
    <col min="2818" max="2818" width="9.140625" style="43"/>
    <col min="2819" max="2819" width="9.85546875" style="43" bestFit="1" customWidth="1"/>
    <col min="2820" max="2821" width="10.140625" style="43" bestFit="1" customWidth="1"/>
    <col min="2822" max="2822" width="16.85546875" style="43" customWidth="1"/>
    <col min="2823" max="2823" width="9.140625" style="43"/>
    <col min="2824" max="2824" width="16.85546875" style="43" customWidth="1"/>
    <col min="2825" max="2825" width="10.140625" style="43" bestFit="1" customWidth="1"/>
    <col min="2826" max="2826" width="13" style="43" customWidth="1"/>
    <col min="2827" max="3072" width="9.140625" style="43"/>
    <col min="3073" max="3073" width="16.85546875" style="43" customWidth="1"/>
    <col min="3074" max="3074" width="9.140625" style="43"/>
    <col min="3075" max="3075" width="9.85546875" style="43" bestFit="1" customWidth="1"/>
    <col min="3076" max="3077" width="10.140625" style="43" bestFit="1" customWidth="1"/>
    <col min="3078" max="3078" width="16.85546875" style="43" customWidth="1"/>
    <col min="3079" max="3079" width="9.140625" style="43"/>
    <col min="3080" max="3080" width="16.85546875" style="43" customWidth="1"/>
    <col min="3081" max="3081" width="10.140625" style="43" bestFit="1" customWidth="1"/>
    <col min="3082" max="3082" width="13" style="43" customWidth="1"/>
    <col min="3083" max="3328" width="9.140625" style="43"/>
    <col min="3329" max="3329" width="16.85546875" style="43" customWidth="1"/>
    <col min="3330" max="3330" width="9.140625" style="43"/>
    <col min="3331" max="3331" width="9.85546875" style="43" bestFit="1" customWidth="1"/>
    <col min="3332" max="3333" width="10.140625" style="43" bestFit="1" customWidth="1"/>
    <col min="3334" max="3334" width="16.85546875" style="43" customWidth="1"/>
    <col min="3335" max="3335" width="9.140625" style="43"/>
    <col min="3336" max="3336" width="16.85546875" style="43" customWidth="1"/>
    <col min="3337" max="3337" width="10.140625" style="43" bestFit="1" customWidth="1"/>
    <col min="3338" max="3338" width="13" style="43" customWidth="1"/>
    <col min="3339" max="3584" width="9.140625" style="43"/>
    <col min="3585" max="3585" width="16.85546875" style="43" customWidth="1"/>
    <col min="3586" max="3586" width="9.140625" style="43"/>
    <col min="3587" max="3587" width="9.85546875" style="43" bestFit="1" customWidth="1"/>
    <col min="3588" max="3589" width="10.140625" style="43" bestFit="1" customWidth="1"/>
    <col min="3590" max="3590" width="16.85546875" style="43" customWidth="1"/>
    <col min="3591" max="3591" width="9.140625" style="43"/>
    <col min="3592" max="3592" width="16.85546875" style="43" customWidth="1"/>
    <col min="3593" max="3593" width="10.140625" style="43" bestFit="1" customWidth="1"/>
    <col min="3594" max="3594" width="13" style="43" customWidth="1"/>
    <col min="3595" max="3840" width="9.140625" style="43"/>
    <col min="3841" max="3841" width="16.85546875" style="43" customWidth="1"/>
    <col min="3842" max="3842" width="9.140625" style="43"/>
    <col min="3843" max="3843" width="9.85546875" style="43" bestFit="1" customWidth="1"/>
    <col min="3844" max="3845" width="10.140625" style="43" bestFit="1" customWidth="1"/>
    <col min="3846" max="3846" width="16.85546875" style="43" customWidth="1"/>
    <col min="3847" max="3847" width="9.140625" style="43"/>
    <col min="3848" max="3848" width="16.85546875" style="43" customWidth="1"/>
    <col min="3849" max="3849" width="10.140625" style="43" bestFit="1" customWidth="1"/>
    <col min="3850" max="3850" width="13" style="43" customWidth="1"/>
    <col min="3851" max="4096" width="9.140625" style="43"/>
    <col min="4097" max="4097" width="16.85546875" style="43" customWidth="1"/>
    <col min="4098" max="4098" width="9.140625" style="43"/>
    <col min="4099" max="4099" width="9.85546875" style="43" bestFit="1" customWidth="1"/>
    <col min="4100" max="4101" width="10.140625" style="43" bestFit="1" customWidth="1"/>
    <col min="4102" max="4102" width="16.85546875" style="43" customWidth="1"/>
    <col min="4103" max="4103" width="9.140625" style="43"/>
    <col min="4104" max="4104" width="16.85546875" style="43" customWidth="1"/>
    <col min="4105" max="4105" width="10.140625" style="43" bestFit="1" customWidth="1"/>
    <col min="4106" max="4106" width="13" style="43" customWidth="1"/>
    <col min="4107" max="4352" width="9.140625" style="43"/>
    <col min="4353" max="4353" width="16.85546875" style="43" customWidth="1"/>
    <col min="4354" max="4354" width="9.140625" style="43"/>
    <col min="4355" max="4355" width="9.85546875" style="43" bestFit="1" customWidth="1"/>
    <col min="4356" max="4357" width="10.140625" style="43" bestFit="1" customWidth="1"/>
    <col min="4358" max="4358" width="16.85546875" style="43" customWidth="1"/>
    <col min="4359" max="4359" width="9.140625" style="43"/>
    <col min="4360" max="4360" width="16.85546875" style="43" customWidth="1"/>
    <col min="4361" max="4361" width="10.140625" style="43" bestFit="1" customWidth="1"/>
    <col min="4362" max="4362" width="13" style="43" customWidth="1"/>
    <col min="4363" max="4608" width="9.140625" style="43"/>
    <col min="4609" max="4609" width="16.85546875" style="43" customWidth="1"/>
    <col min="4610" max="4610" width="9.140625" style="43"/>
    <col min="4611" max="4611" width="9.85546875" style="43" bestFit="1" customWidth="1"/>
    <col min="4612" max="4613" width="10.140625" style="43" bestFit="1" customWidth="1"/>
    <col min="4614" max="4614" width="16.85546875" style="43" customWidth="1"/>
    <col min="4615" max="4615" width="9.140625" style="43"/>
    <col min="4616" max="4616" width="16.85546875" style="43" customWidth="1"/>
    <col min="4617" max="4617" width="10.140625" style="43" bestFit="1" customWidth="1"/>
    <col min="4618" max="4618" width="13" style="43" customWidth="1"/>
    <col min="4619" max="4864" width="9.140625" style="43"/>
    <col min="4865" max="4865" width="16.85546875" style="43" customWidth="1"/>
    <col min="4866" max="4866" width="9.140625" style="43"/>
    <col min="4867" max="4867" width="9.85546875" style="43" bestFit="1" customWidth="1"/>
    <col min="4868" max="4869" width="10.140625" style="43" bestFit="1" customWidth="1"/>
    <col min="4870" max="4870" width="16.85546875" style="43" customWidth="1"/>
    <col min="4871" max="4871" width="9.140625" style="43"/>
    <col min="4872" max="4872" width="16.85546875" style="43" customWidth="1"/>
    <col min="4873" max="4873" width="10.140625" style="43" bestFit="1" customWidth="1"/>
    <col min="4874" max="4874" width="13" style="43" customWidth="1"/>
    <col min="4875" max="5120" width="9.140625" style="43"/>
    <col min="5121" max="5121" width="16.85546875" style="43" customWidth="1"/>
    <col min="5122" max="5122" width="9.140625" style="43"/>
    <col min="5123" max="5123" width="9.85546875" style="43" bestFit="1" customWidth="1"/>
    <col min="5124" max="5125" width="10.140625" style="43" bestFit="1" customWidth="1"/>
    <col min="5126" max="5126" width="16.85546875" style="43" customWidth="1"/>
    <col min="5127" max="5127" width="9.140625" style="43"/>
    <col min="5128" max="5128" width="16.85546875" style="43" customWidth="1"/>
    <col min="5129" max="5129" width="10.140625" style="43" bestFit="1" customWidth="1"/>
    <col min="5130" max="5130" width="13" style="43" customWidth="1"/>
    <col min="5131" max="5376" width="9.140625" style="43"/>
    <col min="5377" max="5377" width="16.85546875" style="43" customWidth="1"/>
    <col min="5378" max="5378" width="9.140625" style="43"/>
    <col min="5379" max="5379" width="9.85546875" style="43" bestFit="1" customWidth="1"/>
    <col min="5380" max="5381" width="10.140625" style="43" bestFit="1" customWidth="1"/>
    <col min="5382" max="5382" width="16.85546875" style="43" customWidth="1"/>
    <col min="5383" max="5383" width="9.140625" style="43"/>
    <col min="5384" max="5384" width="16.85546875" style="43" customWidth="1"/>
    <col min="5385" max="5385" width="10.140625" style="43" bestFit="1" customWidth="1"/>
    <col min="5386" max="5386" width="13" style="43" customWidth="1"/>
    <col min="5387" max="5632" width="9.140625" style="43"/>
    <col min="5633" max="5633" width="16.85546875" style="43" customWidth="1"/>
    <col min="5634" max="5634" width="9.140625" style="43"/>
    <col min="5635" max="5635" width="9.85546875" style="43" bestFit="1" customWidth="1"/>
    <col min="5636" max="5637" width="10.140625" style="43" bestFit="1" customWidth="1"/>
    <col min="5638" max="5638" width="16.85546875" style="43" customWidth="1"/>
    <col min="5639" max="5639" width="9.140625" style="43"/>
    <col min="5640" max="5640" width="16.85546875" style="43" customWidth="1"/>
    <col min="5641" max="5641" width="10.140625" style="43" bestFit="1" customWidth="1"/>
    <col min="5642" max="5642" width="13" style="43" customWidth="1"/>
    <col min="5643" max="5888" width="9.140625" style="43"/>
    <col min="5889" max="5889" width="16.85546875" style="43" customWidth="1"/>
    <col min="5890" max="5890" width="9.140625" style="43"/>
    <col min="5891" max="5891" width="9.85546875" style="43" bestFit="1" customWidth="1"/>
    <col min="5892" max="5893" width="10.140625" style="43" bestFit="1" customWidth="1"/>
    <col min="5894" max="5894" width="16.85546875" style="43" customWidth="1"/>
    <col min="5895" max="5895" width="9.140625" style="43"/>
    <col min="5896" max="5896" width="16.85546875" style="43" customWidth="1"/>
    <col min="5897" max="5897" width="10.140625" style="43" bestFit="1" customWidth="1"/>
    <col min="5898" max="5898" width="13" style="43" customWidth="1"/>
    <col min="5899" max="6144" width="9.140625" style="43"/>
    <col min="6145" max="6145" width="16.85546875" style="43" customWidth="1"/>
    <col min="6146" max="6146" width="9.140625" style="43"/>
    <col min="6147" max="6147" width="9.85546875" style="43" bestFit="1" customWidth="1"/>
    <col min="6148" max="6149" width="10.140625" style="43" bestFit="1" customWidth="1"/>
    <col min="6150" max="6150" width="16.85546875" style="43" customWidth="1"/>
    <col min="6151" max="6151" width="9.140625" style="43"/>
    <col min="6152" max="6152" width="16.85546875" style="43" customWidth="1"/>
    <col min="6153" max="6153" width="10.140625" style="43" bestFit="1" customWidth="1"/>
    <col min="6154" max="6154" width="13" style="43" customWidth="1"/>
    <col min="6155" max="6400" width="9.140625" style="43"/>
    <col min="6401" max="6401" width="16.85546875" style="43" customWidth="1"/>
    <col min="6402" max="6402" width="9.140625" style="43"/>
    <col min="6403" max="6403" width="9.85546875" style="43" bestFit="1" customWidth="1"/>
    <col min="6404" max="6405" width="10.140625" style="43" bestFit="1" customWidth="1"/>
    <col min="6406" max="6406" width="16.85546875" style="43" customWidth="1"/>
    <col min="6407" max="6407" width="9.140625" style="43"/>
    <col min="6408" max="6408" width="16.85546875" style="43" customWidth="1"/>
    <col min="6409" max="6409" width="10.140625" style="43" bestFit="1" customWidth="1"/>
    <col min="6410" max="6410" width="13" style="43" customWidth="1"/>
    <col min="6411" max="6656" width="9.140625" style="43"/>
    <col min="6657" max="6657" width="16.85546875" style="43" customWidth="1"/>
    <col min="6658" max="6658" width="9.140625" style="43"/>
    <col min="6659" max="6659" width="9.85546875" style="43" bestFit="1" customWidth="1"/>
    <col min="6660" max="6661" width="10.140625" style="43" bestFit="1" customWidth="1"/>
    <col min="6662" max="6662" width="16.85546875" style="43" customWidth="1"/>
    <col min="6663" max="6663" width="9.140625" style="43"/>
    <col min="6664" max="6664" width="16.85546875" style="43" customWidth="1"/>
    <col min="6665" max="6665" width="10.140625" style="43" bestFit="1" customWidth="1"/>
    <col min="6666" max="6666" width="13" style="43" customWidth="1"/>
    <col min="6667" max="6912" width="9.140625" style="43"/>
    <col min="6913" max="6913" width="16.85546875" style="43" customWidth="1"/>
    <col min="6914" max="6914" width="9.140625" style="43"/>
    <col min="6915" max="6915" width="9.85546875" style="43" bestFit="1" customWidth="1"/>
    <col min="6916" max="6917" width="10.140625" style="43" bestFit="1" customWidth="1"/>
    <col min="6918" max="6918" width="16.85546875" style="43" customWidth="1"/>
    <col min="6919" max="6919" width="9.140625" style="43"/>
    <col min="6920" max="6920" width="16.85546875" style="43" customWidth="1"/>
    <col min="6921" max="6921" width="10.140625" style="43" bestFit="1" customWidth="1"/>
    <col min="6922" max="6922" width="13" style="43" customWidth="1"/>
    <col min="6923" max="7168" width="9.140625" style="43"/>
    <col min="7169" max="7169" width="16.85546875" style="43" customWidth="1"/>
    <col min="7170" max="7170" width="9.140625" style="43"/>
    <col min="7171" max="7171" width="9.85546875" style="43" bestFit="1" customWidth="1"/>
    <col min="7172" max="7173" width="10.140625" style="43" bestFit="1" customWidth="1"/>
    <col min="7174" max="7174" width="16.85546875" style="43" customWidth="1"/>
    <col min="7175" max="7175" width="9.140625" style="43"/>
    <col min="7176" max="7176" width="16.85546875" style="43" customWidth="1"/>
    <col min="7177" max="7177" width="10.140625" style="43" bestFit="1" customWidth="1"/>
    <col min="7178" max="7178" width="13" style="43" customWidth="1"/>
    <col min="7179" max="7424" width="9.140625" style="43"/>
    <col min="7425" max="7425" width="16.85546875" style="43" customWidth="1"/>
    <col min="7426" max="7426" width="9.140625" style="43"/>
    <col min="7427" max="7427" width="9.85546875" style="43" bestFit="1" customWidth="1"/>
    <col min="7428" max="7429" width="10.140625" style="43" bestFit="1" customWidth="1"/>
    <col min="7430" max="7430" width="16.85546875" style="43" customWidth="1"/>
    <col min="7431" max="7431" width="9.140625" style="43"/>
    <col min="7432" max="7432" width="16.85546875" style="43" customWidth="1"/>
    <col min="7433" max="7433" width="10.140625" style="43" bestFit="1" customWidth="1"/>
    <col min="7434" max="7434" width="13" style="43" customWidth="1"/>
    <col min="7435" max="7680" width="9.140625" style="43"/>
    <col min="7681" max="7681" width="16.85546875" style="43" customWidth="1"/>
    <col min="7682" max="7682" width="9.140625" style="43"/>
    <col min="7683" max="7683" width="9.85546875" style="43" bestFit="1" customWidth="1"/>
    <col min="7684" max="7685" width="10.140625" style="43" bestFit="1" customWidth="1"/>
    <col min="7686" max="7686" width="16.85546875" style="43" customWidth="1"/>
    <col min="7687" max="7687" width="9.140625" style="43"/>
    <col min="7688" max="7688" width="16.85546875" style="43" customWidth="1"/>
    <col min="7689" max="7689" width="10.140625" style="43" bestFit="1" customWidth="1"/>
    <col min="7690" max="7690" width="13" style="43" customWidth="1"/>
    <col min="7691" max="7936" width="9.140625" style="43"/>
    <col min="7937" max="7937" width="16.85546875" style="43" customWidth="1"/>
    <col min="7938" max="7938" width="9.140625" style="43"/>
    <col min="7939" max="7939" width="9.85546875" style="43" bestFit="1" customWidth="1"/>
    <col min="7940" max="7941" width="10.140625" style="43" bestFit="1" customWidth="1"/>
    <col min="7942" max="7942" width="16.85546875" style="43" customWidth="1"/>
    <col min="7943" max="7943" width="9.140625" style="43"/>
    <col min="7944" max="7944" width="16.85546875" style="43" customWidth="1"/>
    <col min="7945" max="7945" width="10.140625" style="43" bestFit="1" customWidth="1"/>
    <col min="7946" max="7946" width="13" style="43" customWidth="1"/>
    <col min="7947" max="8192" width="9.140625" style="43"/>
    <col min="8193" max="8193" width="16.85546875" style="43" customWidth="1"/>
    <col min="8194" max="8194" width="9.140625" style="43"/>
    <col min="8195" max="8195" width="9.85546875" style="43" bestFit="1" customWidth="1"/>
    <col min="8196" max="8197" width="10.140625" style="43" bestFit="1" customWidth="1"/>
    <col min="8198" max="8198" width="16.85546875" style="43" customWidth="1"/>
    <col min="8199" max="8199" width="9.140625" style="43"/>
    <col min="8200" max="8200" width="16.85546875" style="43" customWidth="1"/>
    <col min="8201" max="8201" width="10.140625" style="43" bestFit="1" customWidth="1"/>
    <col min="8202" max="8202" width="13" style="43" customWidth="1"/>
    <col min="8203" max="8448" width="9.140625" style="43"/>
    <col min="8449" max="8449" width="16.85546875" style="43" customWidth="1"/>
    <col min="8450" max="8450" width="9.140625" style="43"/>
    <col min="8451" max="8451" width="9.85546875" style="43" bestFit="1" customWidth="1"/>
    <col min="8452" max="8453" width="10.140625" style="43" bestFit="1" customWidth="1"/>
    <col min="8454" max="8454" width="16.85546875" style="43" customWidth="1"/>
    <col min="8455" max="8455" width="9.140625" style="43"/>
    <col min="8456" max="8456" width="16.85546875" style="43" customWidth="1"/>
    <col min="8457" max="8457" width="10.140625" style="43" bestFit="1" customWidth="1"/>
    <col min="8458" max="8458" width="13" style="43" customWidth="1"/>
    <col min="8459" max="8704" width="9.140625" style="43"/>
    <col min="8705" max="8705" width="16.85546875" style="43" customWidth="1"/>
    <col min="8706" max="8706" width="9.140625" style="43"/>
    <col min="8707" max="8707" width="9.85546875" style="43" bestFit="1" customWidth="1"/>
    <col min="8708" max="8709" width="10.140625" style="43" bestFit="1" customWidth="1"/>
    <col min="8710" max="8710" width="16.85546875" style="43" customWidth="1"/>
    <col min="8711" max="8711" width="9.140625" style="43"/>
    <col min="8712" max="8712" width="16.85546875" style="43" customWidth="1"/>
    <col min="8713" max="8713" width="10.140625" style="43" bestFit="1" customWidth="1"/>
    <col min="8714" max="8714" width="13" style="43" customWidth="1"/>
    <col min="8715" max="8960" width="9.140625" style="43"/>
    <col min="8961" max="8961" width="16.85546875" style="43" customWidth="1"/>
    <col min="8962" max="8962" width="9.140625" style="43"/>
    <col min="8963" max="8963" width="9.85546875" style="43" bestFit="1" customWidth="1"/>
    <col min="8964" max="8965" width="10.140625" style="43" bestFit="1" customWidth="1"/>
    <col min="8966" max="8966" width="16.85546875" style="43" customWidth="1"/>
    <col min="8967" max="8967" width="9.140625" style="43"/>
    <col min="8968" max="8968" width="16.85546875" style="43" customWidth="1"/>
    <col min="8969" max="8969" width="10.140625" style="43" bestFit="1" customWidth="1"/>
    <col min="8970" max="8970" width="13" style="43" customWidth="1"/>
    <col min="8971" max="9216" width="9.140625" style="43"/>
    <col min="9217" max="9217" width="16.85546875" style="43" customWidth="1"/>
    <col min="9218" max="9218" width="9.140625" style="43"/>
    <col min="9219" max="9219" width="9.85546875" style="43" bestFit="1" customWidth="1"/>
    <col min="9220" max="9221" width="10.140625" style="43" bestFit="1" customWidth="1"/>
    <col min="9222" max="9222" width="16.85546875" style="43" customWidth="1"/>
    <col min="9223" max="9223" width="9.140625" style="43"/>
    <col min="9224" max="9224" width="16.85546875" style="43" customWidth="1"/>
    <col min="9225" max="9225" width="10.140625" style="43" bestFit="1" customWidth="1"/>
    <col min="9226" max="9226" width="13" style="43" customWidth="1"/>
    <col min="9227" max="9472" width="9.140625" style="43"/>
    <col min="9473" max="9473" width="16.85546875" style="43" customWidth="1"/>
    <col min="9474" max="9474" width="9.140625" style="43"/>
    <col min="9475" max="9475" width="9.85546875" style="43" bestFit="1" customWidth="1"/>
    <col min="9476" max="9477" width="10.140625" style="43" bestFit="1" customWidth="1"/>
    <col min="9478" max="9478" width="16.85546875" style="43" customWidth="1"/>
    <col min="9479" max="9479" width="9.140625" style="43"/>
    <col min="9480" max="9480" width="16.85546875" style="43" customWidth="1"/>
    <col min="9481" max="9481" width="10.140625" style="43" bestFit="1" customWidth="1"/>
    <col min="9482" max="9482" width="13" style="43" customWidth="1"/>
    <col min="9483" max="9728" width="9.140625" style="43"/>
    <col min="9729" max="9729" width="16.85546875" style="43" customWidth="1"/>
    <col min="9730" max="9730" width="9.140625" style="43"/>
    <col min="9731" max="9731" width="9.85546875" style="43" bestFit="1" customWidth="1"/>
    <col min="9732" max="9733" width="10.140625" style="43" bestFit="1" customWidth="1"/>
    <col min="9734" max="9734" width="16.85546875" style="43" customWidth="1"/>
    <col min="9735" max="9735" width="9.140625" style="43"/>
    <col min="9736" max="9736" width="16.85546875" style="43" customWidth="1"/>
    <col min="9737" max="9737" width="10.140625" style="43" bestFit="1" customWidth="1"/>
    <col min="9738" max="9738" width="13" style="43" customWidth="1"/>
    <col min="9739" max="9984" width="9.140625" style="43"/>
    <col min="9985" max="9985" width="16.85546875" style="43" customWidth="1"/>
    <col min="9986" max="9986" width="9.140625" style="43"/>
    <col min="9987" max="9987" width="9.85546875" style="43" bestFit="1" customWidth="1"/>
    <col min="9988" max="9989" width="10.140625" style="43" bestFit="1" customWidth="1"/>
    <col min="9990" max="9990" width="16.85546875" style="43" customWidth="1"/>
    <col min="9991" max="9991" width="9.140625" style="43"/>
    <col min="9992" max="9992" width="16.85546875" style="43" customWidth="1"/>
    <col min="9993" max="9993" width="10.140625" style="43" bestFit="1" customWidth="1"/>
    <col min="9994" max="9994" width="13" style="43" customWidth="1"/>
    <col min="9995" max="10240" width="9.140625" style="43"/>
    <col min="10241" max="10241" width="16.85546875" style="43" customWidth="1"/>
    <col min="10242" max="10242" width="9.140625" style="43"/>
    <col min="10243" max="10243" width="9.85546875" style="43" bestFit="1" customWidth="1"/>
    <col min="10244" max="10245" width="10.140625" style="43" bestFit="1" customWidth="1"/>
    <col min="10246" max="10246" width="16.85546875" style="43" customWidth="1"/>
    <col min="10247" max="10247" width="9.140625" style="43"/>
    <col min="10248" max="10248" width="16.85546875" style="43" customWidth="1"/>
    <col min="10249" max="10249" width="10.140625" style="43" bestFit="1" customWidth="1"/>
    <col min="10250" max="10250" width="13" style="43" customWidth="1"/>
    <col min="10251" max="10496" width="9.140625" style="43"/>
    <col min="10497" max="10497" width="16.85546875" style="43" customWidth="1"/>
    <col min="10498" max="10498" width="9.140625" style="43"/>
    <col min="10499" max="10499" width="9.85546875" style="43" bestFit="1" customWidth="1"/>
    <col min="10500" max="10501" width="10.140625" style="43" bestFit="1" customWidth="1"/>
    <col min="10502" max="10502" width="16.85546875" style="43" customWidth="1"/>
    <col min="10503" max="10503" width="9.140625" style="43"/>
    <col min="10504" max="10504" width="16.85546875" style="43" customWidth="1"/>
    <col min="10505" max="10505" width="10.140625" style="43" bestFit="1" customWidth="1"/>
    <col min="10506" max="10506" width="13" style="43" customWidth="1"/>
    <col min="10507" max="10752" width="9.140625" style="43"/>
    <col min="10753" max="10753" width="16.85546875" style="43" customWidth="1"/>
    <col min="10754" max="10754" width="9.140625" style="43"/>
    <col min="10755" max="10755" width="9.85546875" style="43" bestFit="1" customWidth="1"/>
    <col min="10756" max="10757" width="10.140625" style="43" bestFit="1" customWidth="1"/>
    <col min="10758" max="10758" width="16.85546875" style="43" customWidth="1"/>
    <col min="10759" max="10759" width="9.140625" style="43"/>
    <col min="10760" max="10760" width="16.85546875" style="43" customWidth="1"/>
    <col min="10761" max="10761" width="10.140625" style="43" bestFit="1" customWidth="1"/>
    <col min="10762" max="10762" width="13" style="43" customWidth="1"/>
    <col min="10763" max="11008" width="9.140625" style="43"/>
    <col min="11009" max="11009" width="16.85546875" style="43" customWidth="1"/>
    <col min="11010" max="11010" width="9.140625" style="43"/>
    <col min="11011" max="11011" width="9.85546875" style="43" bestFit="1" customWidth="1"/>
    <col min="11012" max="11013" width="10.140625" style="43" bestFit="1" customWidth="1"/>
    <col min="11014" max="11014" width="16.85546875" style="43" customWidth="1"/>
    <col min="11015" max="11015" width="9.140625" style="43"/>
    <col min="11016" max="11016" width="16.85546875" style="43" customWidth="1"/>
    <col min="11017" max="11017" width="10.140625" style="43" bestFit="1" customWidth="1"/>
    <col min="11018" max="11018" width="13" style="43" customWidth="1"/>
    <col min="11019" max="11264" width="9.140625" style="43"/>
    <col min="11265" max="11265" width="16.85546875" style="43" customWidth="1"/>
    <col min="11266" max="11266" width="9.140625" style="43"/>
    <col min="11267" max="11267" width="9.85546875" style="43" bestFit="1" customWidth="1"/>
    <col min="11268" max="11269" width="10.140625" style="43" bestFit="1" customWidth="1"/>
    <col min="11270" max="11270" width="16.85546875" style="43" customWidth="1"/>
    <col min="11271" max="11271" width="9.140625" style="43"/>
    <col min="11272" max="11272" width="16.85546875" style="43" customWidth="1"/>
    <col min="11273" max="11273" width="10.140625" style="43" bestFit="1" customWidth="1"/>
    <col min="11274" max="11274" width="13" style="43" customWidth="1"/>
    <col min="11275" max="11520" width="9.140625" style="43"/>
    <col min="11521" max="11521" width="16.85546875" style="43" customWidth="1"/>
    <col min="11522" max="11522" width="9.140625" style="43"/>
    <col min="11523" max="11523" width="9.85546875" style="43" bestFit="1" customWidth="1"/>
    <col min="11524" max="11525" width="10.140625" style="43" bestFit="1" customWidth="1"/>
    <col min="11526" max="11526" width="16.85546875" style="43" customWidth="1"/>
    <col min="11527" max="11527" width="9.140625" style="43"/>
    <col min="11528" max="11528" width="16.85546875" style="43" customWidth="1"/>
    <col min="11529" max="11529" width="10.140625" style="43" bestFit="1" customWidth="1"/>
    <col min="11530" max="11530" width="13" style="43" customWidth="1"/>
    <col min="11531" max="11776" width="9.140625" style="43"/>
    <col min="11777" max="11777" width="16.85546875" style="43" customWidth="1"/>
    <col min="11778" max="11778" width="9.140625" style="43"/>
    <col min="11779" max="11779" width="9.85546875" style="43" bestFit="1" customWidth="1"/>
    <col min="11780" max="11781" width="10.140625" style="43" bestFit="1" customWidth="1"/>
    <col min="11782" max="11782" width="16.85546875" style="43" customWidth="1"/>
    <col min="11783" max="11783" width="9.140625" style="43"/>
    <col min="11784" max="11784" width="16.85546875" style="43" customWidth="1"/>
    <col min="11785" max="11785" width="10.140625" style="43" bestFit="1" customWidth="1"/>
    <col min="11786" max="11786" width="13" style="43" customWidth="1"/>
    <col min="11787" max="12032" width="9.140625" style="43"/>
    <col min="12033" max="12033" width="16.85546875" style="43" customWidth="1"/>
    <col min="12034" max="12034" width="9.140625" style="43"/>
    <col min="12035" max="12035" width="9.85546875" style="43" bestFit="1" customWidth="1"/>
    <col min="12036" max="12037" width="10.140625" style="43" bestFit="1" customWidth="1"/>
    <col min="12038" max="12038" width="16.85546875" style="43" customWidth="1"/>
    <col min="12039" max="12039" width="9.140625" style="43"/>
    <col min="12040" max="12040" width="16.85546875" style="43" customWidth="1"/>
    <col min="12041" max="12041" width="10.140625" style="43" bestFit="1" customWidth="1"/>
    <col min="12042" max="12042" width="13" style="43" customWidth="1"/>
    <col min="12043" max="12288" width="9.140625" style="43"/>
    <col min="12289" max="12289" width="16.85546875" style="43" customWidth="1"/>
    <col min="12290" max="12290" width="9.140625" style="43"/>
    <col min="12291" max="12291" width="9.85546875" style="43" bestFit="1" customWidth="1"/>
    <col min="12292" max="12293" width="10.140625" style="43" bestFit="1" customWidth="1"/>
    <col min="12294" max="12294" width="16.85546875" style="43" customWidth="1"/>
    <col min="12295" max="12295" width="9.140625" style="43"/>
    <col min="12296" max="12296" width="16.85546875" style="43" customWidth="1"/>
    <col min="12297" max="12297" width="10.140625" style="43" bestFit="1" customWidth="1"/>
    <col min="12298" max="12298" width="13" style="43" customWidth="1"/>
    <col min="12299" max="12544" width="9.140625" style="43"/>
    <col min="12545" max="12545" width="16.85546875" style="43" customWidth="1"/>
    <col min="12546" max="12546" width="9.140625" style="43"/>
    <col min="12547" max="12547" width="9.85546875" style="43" bestFit="1" customWidth="1"/>
    <col min="12548" max="12549" width="10.140625" style="43" bestFit="1" customWidth="1"/>
    <col min="12550" max="12550" width="16.85546875" style="43" customWidth="1"/>
    <col min="12551" max="12551" width="9.140625" style="43"/>
    <col min="12552" max="12552" width="16.85546875" style="43" customWidth="1"/>
    <col min="12553" max="12553" width="10.140625" style="43" bestFit="1" customWidth="1"/>
    <col min="12554" max="12554" width="13" style="43" customWidth="1"/>
    <col min="12555" max="12800" width="9.140625" style="43"/>
    <col min="12801" max="12801" width="16.85546875" style="43" customWidth="1"/>
    <col min="12802" max="12802" width="9.140625" style="43"/>
    <col min="12803" max="12803" width="9.85546875" style="43" bestFit="1" customWidth="1"/>
    <col min="12804" max="12805" width="10.140625" style="43" bestFit="1" customWidth="1"/>
    <col min="12806" max="12806" width="16.85546875" style="43" customWidth="1"/>
    <col min="12807" max="12807" width="9.140625" style="43"/>
    <col min="12808" max="12808" width="16.85546875" style="43" customWidth="1"/>
    <col min="12809" max="12809" width="10.140625" style="43" bestFit="1" customWidth="1"/>
    <col min="12810" max="12810" width="13" style="43" customWidth="1"/>
    <col min="12811" max="13056" width="9.140625" style="43"/>
    <col min="13057" max="13057" width="16.85546875" style="43" customWidth="1"/>
    <col min="13058" max="13058" width="9.140625" style="43"/>
    <col min="13059" max="13059" width="9.85546875" style="43" bestFit="1" customWidth="1"/>
    <col min="13060" max="13061" width="10.140625" style="43" bestFit="1" customWidth="1"/>
    <col min="13062" max="13062" width="16.85546875" style="43" customWidth="1"/>
    <col min="13063" max="13063" width="9.140625" style="43"/>
    <col min="13064" max="13064" width="16.85546875" style="43" customWidth="1"/>
    <col min="13065" max="13065" width="10.140625" style="43" bestFit="1" customWidth="1"/>
    <col min="13066" max="13066" width="13" style="43" customWidth="1"/>
    <col min="13067" max="13312" width="9.140625" style="43"/>
    <col min="13313" max="13313" width="16.85546875" style="43" customWidth="1"/>
    <col min="13314" max="13314" width="9.140625" style="43"/>
    <col min="13315" max="13315" width="9.85546875" style="43" bestFit="1" customWidth="1"/>
    <col min="13316" max="13317" width="10.140625" style="43" bestFit="1" customWidth="1"/>
    <col min="13318" max="13318" width="16.85546875" style="43" customWidth="1"/>
    <col min="13319" max="13319" width="9.140625" style="43"/>
    <col min="13320" max="13320" width="16.85546875" style="43" customWidth="1"/>
    <col min="13321" max="13321" width="10.140625" style="43" bestFit="1" customWidth="1"/>
    <col min="13322" max="13322" width="13" style="43" customWidth="1"/>
    <col min="13323" max="13568" width="9.140625" style="43"/>
    <col min="13569" max="13569" width="16.85546875" style="43" customWidth="1"/>
    <col min="13570" max="13570" width="9.140625" style="43"/>
    <col min="13571" max="13571" width="9.85546875" style="43" bestFit="1" customWidth="1"/>
    <col min="13572" max="13573" width="10.140625" style="43" bestFit="1" customWidth="1"/>
    <col min="13574" max="13574" width="16.85546875" style="43" customWidth="1"/>
    <col min="13575" max="13575" width="9.140625" style="43"/>
    <col min="13576" max="13576" width="16.85546875" style="43" customWidth="1"/>
    <col min="13577" max="13577" width="10.140625" style="43" bestFit="1" customWidth="1"/>
    <col min="13578" max="13578" width="13" style="43" customWidth="1"/>
    <col min="13579" max="13824" width="9.140625" style="43"/>
    <col min="13825" max="13825" width="16.85546875" style="43" customWidth="1"/>
    <col min="13826" max="13826" width="9.140625" style="43"/>
    <col min="13827" max="13827" width="9.85546875" style="43" bestFit="1" customWidth="1"/>
    <col min="13828" max="13829" width="10.140625" style="43" bestFit="1" customWidth="1"/>
    <col min="13830" max="13830" width="16.85546875" style="43" customWidth="1"/>
    <col min="13831" max="13831" width="9.140625" style="43"/>
    <col min="13832" max="13832" width="16.85546875" style="43" customWidth="1"/>
    <col min="13833" max="13833" width="10.140625" style="43" bestFit="1" customWidth="1"/>
    <col min="13834" max="13834" width="13" style="43" customWidth="1"/>
    <col min="13835" max="14080" width="9.140625" style="43"/>
    <col min="14081" max="14081" width="16.85546875" style="43" customWidth="1"/>
    <col min="14082" max="14082" width="9.140625" style="43"/>
    <col min="14083" max="14083" width="9.85546875" style="43" bestFit="1" customWidth="1"/>
    <col min="14084" max="14085" width="10.140625" style="43" bestFit="1" customWidth="1"/>
    <col min="14086" max="14086" width="16.85546875" style="43" customWidth="1"/>
    <col min="14087" max="14087" width="9.140625" style="43"/>
    <col min="14088" max="14088" width="16.85546875" style="43" customWidth="1"/>
    <col min="14089" max="14089" width="10.140625" style="43" bestFit="1" customWidth="1"/>
    <col min="14090" max="14090" width="13" style="43" customWidth="1"/>
    <col min="14091" max="14336" width="9.140625" style="43"/>
    <col min="14337" max="14337" width="16.85546875" style="43" customWidth="1"/>
    <col min="14338" max="14338" width="9.140625" style="43"/>
    <col min="14339" max="14339" width="9.85546875" style="43" bestFit="1" customWidth="1"/>
    <col min="14340" max="14341" width="10.140625" style="43" bestFit="1" customWidth="1"/>
    <col min="14342" max="14342" width="16.85546875" style="43" customWidth="1"/>
    <col min="14343" max="14343" width="9.140625" style="43"/>
    <col min="14344" max="14344" width="16.85546875" style="43" customWidth="1"/>
    <col min="14345" max="14345" width="10.140625" style="43" bestFit="1" customWidth="1"/>
    <col min="14346" max="14346" width="13" style="43" customWidth="1"/>
    <col min="14347" max="14592" width="9.140625" style="43"/>
    <col min="14593" max="14593" width="16.85546875" style="43" customWidth="1"/>
    <col min="14594" max="14594" width="9.140625" style="43"/>
    <col min="14595" max="14595" width="9.85546875" style="43" bestFit="1" customWidth="1"/>
    <col min="14596" max="14597" width="10.140625" style="43" bestFit="1" customWidth="1"/>
    <col min="14598" max="14598" width="16.85546875" style="43" customWidth="1"/>
    <col min="14599" max="14599" width="9.140625" style="43"/>
    <col min="14600" max="14600" width="16.85546875" style="43" customWidth="1"/>
    <col min="14601" max="14601" width="10.140625" style="43" bestFit="1" customWidth="1"/>
    <col min="14602" max="14602" width="13" style="43" customWidth="1"/>
    <col min="14603" max="14848" width="9.140625" style="43"/>
    <col min="14849" max="14849" width="16.85546875" style="43" customWidth="1"/>
    <col min="14850" max="14850" width="9.140625" style="43"/>
    <col min="14851" max="14851" width="9.85546875" style="43" bestFit="1" customWidth="1"/>
    <col min="14852" max="14853" width="10.140625" style="43" bestFit="1" customWidth="1"/>
    <col min="14854" max="14854" width="16.85546875" style="43" customWidth="1"/>
    <col min="14855" max="14855" width="9.140625" style="43"/>
    <col min="14856" max="14856" width="16.85546875" style="43" customWidth="1"/>
    <col min="14857" max="14857" width="10.140625" style="43" bestFit="1" customWidth="1"/>
    <col min="14858" max="14858" width="13" style="43" customWidth="1"/>
    <col min="14859" max="15104" width="9.140625" style="43"/>
    <col min="15105" max="15105" width="16.85546875" style="43" customWidth="1"/>
    <col min="15106" max="15106" width="9.140625" style="43"/>
    <col min="15107" max="15107" width="9.85546875" style="43" bestFit="1" customWidth="1"/>
    <col min="15108" max="15109" width="10.140625" style="43" bestFit="1" customWidth="1"/>
    <col min="15110" max="15110" width="16.85546875" style="43" customWidth="1"/>
    <col min="15111" max="15111" width="9.140625" style="43"/>
    <col min="15112" max="15112" width="16.85546875" style="43" customWidth="1"/>
    <col min="15113" max="15113" width="10.140625" style="43" bestFit="1" customWidth="1"/>
    <col min="15114" max="15114" width="13" style="43" customWidth="1"/>
    <col min="15115" max="15360" width="9.140625" style="43"/>
    <col min="15361" max="15361" width="16.85546875" style="43" customWidth="1"/>
    <col min="15362" max="15362" width="9.140625" style="43"/>
    <col min="15363" max="15363" width="9.85546875" style="43" bestFit="1" customWidth="1"/>
    <col min="15364" max="15365" width="10.140625" style="43" bestFit="1" customWidth="1"/>
    <col min="15366" max="15366" width="16.85546875" style="43" customWidth="1"/>
    <col min="15367" max="15367" width="9.140625" style="43"/>
    <col min="15368" max="15368" width="16.85546875" style="43" customWidth="1"/>
    <col min="15369" max="15369" width="10.140625" style="43" bestFit="1" customWidth="1"/>
    <col min="15370" max="15370" width="13" style="43" customWidth="1"/>
    <col min="15371" max="15616" width="9.140625" style="43"/>
    <col min="15617" max="15617" width="16.85546875" style="43" customWidth="1"/>
    <col min="15618" max="15618" width="9.140625" style="43"/>
    <col min="15619" max="15619" width="9.85546875" style="43" bestFit="1" customWidth="1"/>
    <col min="15620" max="15621" width="10.140625" style="43" bestFit="1" customWidth="1"/>
    <col min="15622" max="15622" width="16.85546875" style="43" customWidth="1"/>
    <col min="15623" max="15623" width="9.140625" style="43"/>
    <col min="15624" max="15624" width="16.85546875" style="43" customWidth="1"/>
    <col min="15625" max="15625" width="10.140625" style="43" bestFit="1" customWidth="1"/>
    <col min="15626" max="15626" width="13" style="43" customWidth="1"/>
    <col min="15627" max="15872" width="9.140625" style="43"/>
    <col min="15873" max="15873" width="16.85546875" style="43" customWidth="1"/>
    <col min="15874" max="15874" width="9.140625" style="43"/>
    <col min="15875" max="15875" width="9.85546875" style="43" bestFit="1" customWidth="1"/>
    <col min="15876" max="15877" width="10.140625" style="43" bestFit="1" customWidth="1"/>
    <col min="15878" max="15878" width="16.85546875" style="43" customWidth="1"/>
    <col min="15879" max="15879" width="9.140625" style="43"/>
    <col min="15880" max="15880" width="16.85546875" style="43" customWidth="1"/>
    <col min="15881" max="15881" width="10.140625" style="43" bestFit="1" customWidth="1"/>
    <col min="15882" max="15882" width="13" style="43" customWidth="1"/>
    <col min="15883" max="16128" width="9.140625" style="43"/>
    <col min="16129" max="16129" width="16.85546875" style="43" customWidth="1"/>
    <col min="16130" max="16130" width="9.140625" style="43"/>
    <col min="16131" max="16131" width="9.85546875" style="43" bestFit="1" customWidth="1"/>
    <col min="16132" max="16133" width="10.140625" style="43" bestFit="1" customWidth="1"/>
    <col min="16134" max="16134" width="16.85546875" style="43" customWidth="1"/>
    <col min="16135" max="16135" width="9.140625" style="43"/>
    <col min="16136" max="16136" width="16.85546875" style="43" customWidth="1"/>
    <col min="16137" max="16137" width="10.140625" style="43" bestFit="1" customWidth="1"/>
    <col min="16138" max="16138" width="13" style="43" customWidth="1"/>
    <col min="16139" max="16384" width="9.140625" style="43"/>
  </cols>
  <sheetData>
    <row r="1" spans="1:18" x14ac:dyDescent="0.25">
      <c r="A1" s="43" t="str">
        <f>'Расчет стоимости'!$C$5</f>
        <v>I_005-51-1-03.13-0007</v>
      </c>
    </row>
    <row r="2" spans="1:18" ht="49.5" customHeight="1" x14ac:dyDescent="0.25">
      <c r="A2" s="769" t="str">
        <f>'Расчет стоимости'!C6</f>
        <v>Техническое перевооружение ПС 110/6,6/6,3 кВ «Воргашорская»: замена ОД и КЗ 110 кВ на элегазовые выключатели 110 кВ (2 шт.) г. Воркута Республика Коми</v>
      </c>
      <c r="B2" s="769"/>
      <c r="C2" s="769"/>
      <c r="D2" s="769"/>
      <c r="E2" s="769"/>
      <c r="F2" s="769"/>
      <c r="G2" s="769"/>
      <c r="H2" s="769"/>
      <c r="I2" s="769"/>
      <c r="J2" s="769"/>
      <c r="K2" s="769"/>
      <c r="L2" s="769"/>
      <c r="M2" s="769"/>
      <c r="N2" s="769"/>
      <c r="O2" s="769"/>
    </row>
    <row r="3" spans="1:18" ht="25.5" x14ac:dyDescent="0.25">
      <c r="A3" s="493">
        <f>'НМЦ лота'!E10</f>
        <v>2024</v>
      </c>
      <c r="B3" s="494" t="s">
        <v>1422</v>
      </c>
      <c r="C3" s="495">
        <f ca="1">SUM('Расчет стоимости'!P355:P357)</f>
        <v>1579.67</v>
      </c>
      <c r="D3" s="496"/>
      <c r="E3" s="497"/>
    </row>
    <row r="4" spans="1:18" x14ac:dyDescent="0.25">
      <c r="A4" s="498"/>
      <c r="B4" s="518" t="s">
        <v>1429</v>
      </c>
      <c r="C4" s="500">
        <f ca="1">'НМЦ лота на ПИР'!F22</f>
        <v>1483.23236</v>
      </c>
      <c r="D4" s="501"/>
      <c r="E4" s="502"/>
    </row>
    <row r="5" spans="1:18" x14ac:dyDescent="0.25">
      <c r="A5" s="493"/>
      <c r="B5" s="499" t="s">
        <v>1423</v>
      </c>
      <c r="C5" s="503">
        <f ca="1">C3-C4</f>
        <v>96.437640000000101</v>
      </c>
      <c r="D5" s="496"/>
      <c r="E5" s="504"/>
    </row>
    <row r="6" spans="1:18" ht="25.5" x14ac:dyDescent="0.25">
      <c r="A6" s="493">
        <f>'НМЦ лота'!E11</f>
        <v>2025</v>
      </c>
      <c r="B6" s="494" t="s">
        <v>1422</v>
      </c>
      <c r="C6" s="495">
        <f ca="1">'Расчет стоимости'!P354-C3</f>
        <v>26192.969999999994</v>
      </c>
      <c r="D6" s="505"/>
      <c r="E6" s="506"/>
      <c r="R6" s="507"/>
    </row>
    <row r="7" spans="1:18" ht="25.5" x14ac:dyDescent="0.25">
      <c r="A7" s="508"/>
      <c r="B7" s="518" t="s">
        <v>1430</v>
      </c>
      <c r="C7" s="509">
        <f ca="1">'НМЦ лота'!K41</f>
        <v>24642.482260705434</v>
      </c>
      <c r="D7" s="508"/>
      <c r="E7" s="504"/>
    </row>
    <row r="8" spans="1:18" x14ac:dyDescent="0.25">
      <c r="A8" s="496"/>
      <c r="B8" s="499" t="s">
        <v>1423</v>
      </c>
      <c r="C8" s="509">
        <f ca="1">C6-C7</f>
        <v>1550.48773929456</v>
      </c>
      <c r="D8" s="510"/>
      <c r="E8" s="504"/>
    </row>
    <row r="10" spans="1:18" ht="15" customHeight="1" x14ac:dyDescent="0.25">
      <c r="A10" s="770" t="s">
        <v>1424</v>
      </c>
      <c r="B10" s="772" t="s">
        <v>1425</v>
      </c>
      <c r="C10" s="773"/>
      <c r="D10" s="773"/>
      <c r="E10" s="774"/>
      <c r="F10" s="770" t="s">
        <v>1426</v>
      </c>
      <c r="G10" s="772" t="s">
        <v>1425</v>
      </c>
      <c r="H10" s="773"/>
      <c r="I10" s="773"/>
      <c r="J10" s="774"/>
      <c r="K10" s="775" t="str">
        <f>CONCATENATE("КВЛ на ",A3)</f>
        <v>КВЛ на 2024</v>
      </c>
      <c r="L10" s="777" t="s">
        <v>1427</v>
      </c>
      <c r="M10" s="778"/>
      <c r="N10" s="778"/>
      <c r="O10" s="779"/>
    </row>
    <row r="11" spans="1:18" ht="58.5" customHeight="1" x14ac:dyDescent="0.25">
      <c r="A11" s="771"/>
      <c r="B11" s="511" t="s">
        <v>311</v>
      </c>
      <c r="C11" s="511" t="s">
        <v>1428</v>
      </c>
      <c r="D11" s="511" t="s">
        <v>184</v>
      </c>
      <c r="E11" s="511" t="s">
        <v>5</v>
      </c>
      <c r="F11" s="771"/>
      <c r="G11" s="511" t="s">
        <v>311</v>
      </c>
      <c r="H11" s="511" t="s">
        <v>1428</v>
      </c>
      <c r="I11" s="511" t="s">
        <v>184</v>
      </c>
      <c r="J11" s="511" t="s">
        <v>5</v>
      </c>
      <c r="K11" s="776"/>
      <c r="L11" s="512" t="s">
        <v>311</v>
      </c>
      <c r="M11" s="512" t="s">
        <v>184</v>
      </c>
      <c r="N11" s="512" t="s">
        <v>1428</v>
      </c>
      <c r="O11" s="512" t="s">
        <v>5</v>
      </c>
    </row>
    <row r="12" spans="1:18" x14ac:dyDescent="0.25">
      <c r="A12" s="513">
        <f ca="1">'Расчет стоимости'!I354</f>
        <v>39675.189999999995</v>
      </c>
      <c r="B12" s="514">
        <f ca="1">SUM('Расчет стоимости'!I355:J357)</f>
        <v>2256.67</v>
      </c>
      <c r="C12" s="514">
        <f ca="1">SUM('Расчет стоимости'!I364:I366)</f>
        <v>18315.38</v>
      </c>
      <c r="D12" s="514">
        <f ca="1">SUM('Расчет стоимости'!I358:J363)</f>
        <v>9641.1</v>
      </c>
      <c r="E12" s="513">
        <f ca="1">A12-B12-C12-D12</f>
        <v>9462.0399999999954</v>
      </c>
      <c r="F12" s="513">
        <f ca="1">'Расчет стоимости'!P354</f>
        <v>27772.639999999996</v>
      </c>
      <c r="G12" s="515">
        <f ca="1">ROUND('НМЦ лота на ПИР'!F22,5)</f>
        <v>1483.23236</v>
      </c>
      <c r="H12" s="513">
        <f ca="1">SUM('Расчет стоимости'!P364:P366)</f>
        <v>12820.77</v>
      </c>
      <c r="I12" s="513">
        <f ca="1">SUM('Расчет стоимости'!P358:P363)</f>
        <v>6748.77</v>
      </c>
      <c r="J12" s="513">
        <f ca="1">F12-G12-H12-I12</f>
        <v>6719.8676399999968</v>
      </c>
      <c r="K12" s="516">
        <f ca="1">C3</f>
        <v>1579.67</v>
      </c>
      <c r="L12" s="516">
        <f ca="1">'НМЦ лота на ПИР'!F22</f>
        <v>1483.23236</v>
      </c>
      <c r="M12" s="516"/>
      <c r="N12" s="516"/>
      <c r="O12" s="516">
        <f ca="1">K12-M12-N12-L12</f>
        <v>96.437640000000101</v>
      </c>
    </row>
    <row r="20" spans="10:10" x14ac:dyDescent="0.25">
      <c r="J20" s="507"/>
    </row>
    <row r="21" spans="10:10" x14ac:dyDescent="0.25">
      <c r="J21" s="507"/>
    </row>
    <row r="33" spans="1:3" x14ac:dyDescent="0.25">
      <c r="A33" s="768"/>
      <c r="B33" s="768"/>
      <c r="C33" s="517"/>
    </row>
  </sheetData>
  <mergeCells count="8">
    <mergeCell ref="A33:B33"/>
    <mergeCell ref="A2:O2"/>
    <mergeCell ref="A10:A11"/>
    <mergeCell ref="B10:E10"/>
    <mergeCell ref="F10:F11"/>
    <mergeCell ref="G10:J10"/>
    <mergeCell ref="K10:K11"/>
    <mergeCell ref="L10:O10"/>
  </mergeCells>
  <conditionalFormatting sqref="K10:L10 L11:O11">
    <cfRule type="cellIs" dxfId="6" priority="5" operator="lessThan">
      <formula>0</formula>
    </cfRule>
    <cfRule type="cellIs" dxfId="5" priority="6" operator="equal">
      <formula>0</formula>
    </cfRule>
  </conditionalFormatting>
  <conditionalFormatting sqref="G10 G11:J11 B11:E11 A10:B10">
    <cfRule type="cellIs" dxfId="4" priority="3" operator="lessThan">
      <formula>0</formula>
    </cfRule>
    <cfRule type="cellIs" dxfId="3" priority="4" operator="equal">
      <formula>0</formula>
    </cfRule>
  </conditionalFormatting>
  <conditionalFormatting sqref="F10">
    <cfRule type="cellIs" dxfId="2" priority="1" operator="lessThan">
      <formula>0</formula>
    </cfRule>
    <cfRule type="cellIs" dxfId="1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AH25"/>
  <sheetViews>
    <sheetView tabSelected="1" workbookViewId="0">
      <selection activeCell="C8" sqref="C8"/>
    </sheetView>
  </sheetViews>
  <sheetFormatPr defaultRowHeight="15" x14ac:dyDescent="0.25"/>
  <cols>
    <col min="1" max="1" width="10.28515625" style="163" customWidth="1"/>
    <col min="2" max="2" width="12.140625" style="163" customWidth="1"/>
    <col min="3" max="3" width="43" style="163" customWidth="1"/>
    <col min="4" max="4" width="12.28515625" style="163" customWidth="1"/>
    <col min="5" max="8" width="10.42578125" style="163" customWidth="1"/>
    <col min="9" max="9" width="11.85546875" style="163" customWidth="1"/>
    <col min="10" max="10" width="14.85546875" style="163" customWidth="1"/>
    <col min="11" max="11" width="15.85546875" style="163" customWidth="1"/>
    <col min="12" max="12" width="9.5703125" style="163" customWidth="1"/>
    <col min="13" max="14" width="9.85546875" style="163" customWidth="1"/>
    <col min="15" max="15" width="9.7109375" style="163" customWidth="1"/>
    <col min="16" max="17" width="9.85546875" style="163" customWidth="1"/>
    <col min="18" max="18" width="11.28515625" style="163" customWidth="1"/>
    <col min="19" max="19" width="12" style="163" customWidth="1"/>
    <col min="20" max="20" width="11.7109375" style="163" customWidth="1"/>
    <col min="21" max="21" width="11.42578125" style="163" customWidth="1"/>
    <col min="22" max="22" width="11.7109375" style="163" customWidth="1"/>
    <col min="23" max="23" width="11.5703125" style="163" customWidth="1"/>
    <col min="24" max="24" width="14.42578125" style="163" customWidth="1"/>
    <col min="25" max="26" width="9.140625" style="163"/>
    <col min="27" max="27" width="11.7109375" style="163" customWidth="1"/>
    <col min="28" max="28" width="14.140625" style="163" customWidth="1"/>
    <col min="29" max="16384" width="9.140625" style="163"/>
  </cols>
  <sheetData>
    <row r="1" spans="1:34" x14ac:dyDescent="0.25">
      <c r="W1" s="521"/>
      <c r="X1" s="522"/>
      <c r="Y1" s="522"/>
      <c r="Z1" s="522"/>
      <c r="AA1" s="522"/>
      <c r="AB1" s="522"/>
      <c r="AC1" s="522"/>
      <c r="AD1" s="522"/>
      <c r="AE1" s="522"/>
      <c r="AF1" s="522"/>
      <c r="AG1" s="522"/>
      <c r="AH1" s="522"/>
    </row>
    <row r="2" spans="1:34" s="523" customFormat="1" ht="15" customHeight="1" x14ac:dyDescent="0.25">
      <c r="B2" s="783" t="s">
        <v>1439</v>
      </c>
      <c r="C2" s="783"/>
      <c r="D2" s="783"/>
      <c r="E2" s="783"/>
      <c r="F2" s="783"/>
      <c r="G2" s="783"/>
      <c r="H2" s="783"/>
      <c r="I2" s="783"/>
      <c r="J2" s="524" t="s">
        <v>1431</v>
      </c>
      <c r="L2" s="784"/>
      <c r="M2" s="784"/>
      <c r="N2" s="784"/>
      <c r="O2" s="784"/>
      <c r="P2" s="784"/>
      <c r="Q2" s="784"/>
      <c r="R2" s="784"/>
      <c r="S2" s="784"/>
      <c r="T2" s="784"/>
      <c r="U2" s="784"/>
      <c r="V2" s="784"/>
    </row>
    <row r="3" spans="1:34" ht="15.75" thickBot="1" x14ac:dyDescent="0.3">
      <c r="L3" s="525"/>
      <c r="M3" s="525"/>
      <c r="N3" s="525"/>
      <c r="O3" s="525"/>
      <c r="P3" s="525"/>
      <c r="Q3" s="525"/>
      <c r="R3" s="526"/>
      <c r="S3" s="526"/>
      <c r="T3" s="526"/>
      <c r="U3" s="163">
        <f>A8</f>
        <v>2025</v>
      </c>
      <c r="V3" s="163" t="s">
        <v>1432</v>
      </c>
      <c r="W3" s="522"/>
      <c r="X3" s="522"/>
      <c r="Y3" s="522"/>
      <c r="Z3" s="522"/>
      <c r="AA3" s="522"/>
      <c r="AB3" s="522"/>
      <c r="AC3" s="522"/>
      <c r="AD3" s="522"/>
      <c r="AE3" s="522"/>
      <c r="AF3" s="522"/>
      <c r="AG3" s="522"/>
      <c r="AH3" s="522"/>
    </row>
    <row r="4" spans="1:34" ht="15" customHeight="1" x14ac:dyDescent="0.25">
      <c r="A4" s="785" t="s">
        <v>501</v>
      </c>
      <c r="B4" s="788" t="s">
        <v>1433</v>
      </c>
      <c r="C4" s="788" t="s">
        <v>1434</v>
      </c>
      <c r="D4" s="791" t="s">
        <v>1441</v>
      </c>
      <c r="E4" s="794" t="s">
        <v>1425</v>
      </c>
      <c r="F4" s="795"/>
      <c r="G4" s="795"/>
      <c r="H4" s="796"/>
      <c r="I4" s="797" t="s">
        <v>1442</v>
      </c>
      <c r="J4" s="798"/>
      <c r="K4" s="799"/>
      <c r="L4" s="797" t="s">
        <v>1443</v>
      </c>
      <c r="M4" s="798"/>
      <c r="N4" s="798"/>
      <c r="O4" s="798"/>
      <c r="P4" s="798"/>
      <c r="Q4" s="799"/>
      <c r="R4" s="800" t="s">
        <v>1435</v>
      </c>
      <c r="S4" s="803" t="s">
        <v>1444</v>
      </c>
      <c r="T4" s="806" t="s">
        <v>1445</v>
      </c>
      <c r="U4" s="809" t="s">
        <v>1446</v>
      </c>
      <c r="V4" s="812" t="s">
        <v>1436</v>
      </c>
      <c r="W4" s="522"/>
      <c r="X4" s="522"/>
      <c r="Y4" s="522"/>
      <c r="Z4" s="522"/>
      <c r="AA4" s="522"/>
      <c r="AB4" s="522"/>
      <c r="AC4" s="522"/>
      <c r="AD4" s="522"/>
      <c r="AE4" s="522"/>
      <c r="AF4" s="522"/>
      <c r="AG4" s="522"/>
      <c r="AH4" s="522"/>
    </row>
    <row r="5" spans="1:34" ht="15" customHeight="1" x14ac:dyDescent="0.25">
      <c r="A5" s="786"/>
      <c r="B5" s="789"/>
      <c r="C5" s="789"/>
      <c r="D5" s="792"/>
      <c r="E5" s="815" t="s">
        <v>1447</v>
      </c>
      <c r="F5" s="817" t="s">
        <v>1448</v>
      </c>
      <c r="G5" s="817" t="s">
        <v>1449</v>
      </c>
      <c r="H5" s="819" t="s">
        <v>1450</v>
      </c>
      <c r="I5" s="821" t="s">
        <v>1451</v>
      </c>
      <c r="J5" s="822"/>
      <c r="K5" s="527" t="s">
        <v>1452</v>
      </c>
      <c r="L5" s="821" t="s">
        <v>1451</v>
      </c>
      <c r="M5" s="781"/>
      <c r="N5" s="822"/>
      <c r="O5" s="780" t="s">
        <v>1452</v>
      </c>
      <c r="P5" s="781"/>
      <c r="Q5" s="782"/>
      <c r="R5" s="801"/>
      <c r="S5" s="804"/>
      <c r="T5" s="807"/>
      <c r="U5" s="810"/>
      <c r="V5" s="813"/>
      <c r="W5" s="522"/>
      <c r="X5" s="522"/>
      <c r="Y5" s="522"/>
      <c r="Z5" s="522"/>
      <c r="AA5" s="522"/>
      <c r="AB5" s="522"/>
      <c r="AC5" s="522"/>
      <c r="AD5" s="522"/>
      <c r="AE5" s="522"/>
      <c r="AF5" s="522"/>
      <c r="AG5" s="522"/>
      <c r="AH5" s="522"/>
    </row>
    <row r="6" spans="1:34" ht="132.75" thickBot="1" x14ac:dyDescent="0.3">
      <c r="A6" s="787"/>
      <c r="B6" s="790"/>
      <c r="C6" s="790"/>
      <c r="D6" s="793"/>
      <c r="E6" s="816"/>
      <c r="F6" s="818"/>
      <c r="G6" s="818"/>
      <c r="H6" s="820"/>
      <c r="I6" s="528" t="s">
        <v>1453</v>
      </c>
      <c r="J6" s="529" t="s">
        <v>1454</v>
      </c>
      <c r="K6" s="530" t="s">
        <v>1455</v>
      </c>
      <c r="L6" s="531" t="s">
        <v>1456</v>
      </c>
      <c r="M6" s="532" t="s">
        <v>1437</v>
      </c>
      <c r="N6" s="532" t="s">
        <v>1438</v>
      </c>
      <c r="O6" s="532" t="s">
        <v>1456</v>
      </c>
      <c r="P6" s="532" t="s">
        <v>1437</v>
      </c>
      <c r="Q6" s="533" t="s">
        <v>1438</v>
      </c>
      <c r="R6" s="802"/>
      <c r="S6" s="805"/>
      <c r="T6" s="808"/>
      <c r="U6" s="811"/>
      <c r="V6" s="814"/>
      <c r="W6" s="522"/>
      <c r="X6" s="522"/>
      <c r="Y6" s="522"/>
      <c r="Z6" s="522"/>
      <c r="AA6" s="522"/>
      <c r="AB6" s="522"/>
      <c r="AC6" s="522"/>
      <c r="AD6" s="522"/>
      <c r="AE6" s="522"/>
      <c r="AF6" s="522"/>
      <c r="AG6" s="522"/>
      <c r="AH6" s="522"/>
    </row>
    <row r="7" spans="1:34" s="476" customFormat="1" x14ac:dyDescent="0.25">
      <c r="A7" s="534">
        <v>1</v>
      </c>
      <c r="B7" s="535">
        <v>2</v>
      </c>
      <c r="C7" s="535">
        <v>3</v>
      </c>
      <c r="D7" s="536">
        <v>4</v>
      </c>
      <c r="E7" s="537">
        <v>5</v>
      </c>
      <c r="F7" s="538">
        <v>6</v>
      </c>
      <c r="G7" s="538">
        <v>7</v>
      </c>
      <c r="H7" s="539">
        <v>8</v>
      </c>
      <c r="I7" s="540">
        <v>9</v>
      </c>
      <c r="J7" s="541">
        <v>10</v>
      </c>
      <c r="K7" s="542">
        <v>11</v>
      </c>
      <c r="L7" s="543">
        <v>12</v>
      </c>
      <c r="M7" s="544">
        <v>13</v>
      </c>
      <c r="N7" s="544">
        <v>14</v>
      </c>
      <c r="O7" s="544">
        <v>15</v>
      </c>
      <c r="P7" s="544">
        <v>16</v>
      </c>
      <c r="Q7" s="545">
        <v>17</v>
      </c>
      <c r="R7" s="546">
        <v>18</v>
      </c>
      <c r="S7" s="534">
        <v>19</v>
      </c>
      <c r="T7" s="535">
        <v>20</v>
      </c>
      <c r="U7" s="535">
        <v>21</v>
      </c>
      <c r="V7" s="547">
        <v>22</v>
      </c>
      <c r="W7" s="522"/>
      <c r="X7" s="522"/>
      <c r="Y7" s="522"/>
      <c r="Z7" s="522"/>
      <c r="AA7" s="522"/>
      <c r="AB7" s="522"/>
      <c r="AC7" s="522"/>
      <c r="AD7" s="522"/>
      <c r="AE7" s="522"/>
      <c r="AF7" s="522"/>
      <c r="AG7" s="522"/>
      <c r="AH7" s="522"/>
    </row>
    <row r="8" spans="1:34" ht="48.75" thickBot="1" x14ac:dyDescent="0.3">
      <c r="A8" s="548">
        <v>2025</v>
      </c>
      <c r="B8" s="549" t="str">
        <f>J2</f>
        <v>I_005-51-1-03.13-0007</v>
      </c>
      <c r="C8" s="550" t="s">
        <v>1440</v>
      </c>
      <c r="D8" s="551">
        <v>27772.639999999999</v>
      </c>
      <c r="E8" s="552">
        <v>1483.23236</v>
      </c>
      <c r="F8" s="553">
        <v>6748.77</v>
      </c>
      <c r="G8" s="553">
        <v>12820.77</v>
      </c>
      <c r="H8" s="554">
        <f>IFERROR(D8-E8-F8-G8,"#Ошибка!")</f>
        <v>6719.8676399999968</v>
      </c>
      <c r="I8" s="555">
        <v>0</v>
      </c>
      <c r="J8" s="553">
        <v>0</v>
      </c>
      <c r="K8" s="556">
        <v>26125.714619999999</v>
      </c>
      <c r="L8" s="552">
        <v>0</v>
      </c>
      <c r="M8" s="553">
        <v>0</v>
      </c>
      <c r="N8" s="553">
        <v>0</v>
      </c>
      <c r="O8" s="553">
        <v>1646.9253799999999</v>
      </c>
      <c r="P8" s="553">
        <v>0</v>
      </c>
      <c r="Q8" s="554">
        <v>0</v>
      </c>
      <c r="R8" s="557">
        <f>IFERROR(SUM(I8:Q8),"#Ошибка!")</f>
        <v>27772.639999999999</v>
      </c>
      <c r="S8" s="552">
        <v>0</v>
      </c>
      <c r="T8" s="553">
        <v>0</v>
      </c>
      <c r="U8" s="553">
        <f>IFERROR(ROUND(K8*1.2+T8+O8+P8+Q8,5),"#Ошибка!")</f>
        <v>32997.782919999998</v>
      </c>
      <c r="V8" s="558">
        <f>IFERROR(S8+U8,"#Ошибка!")</f>
        <v>32997.782919999998</v>
      </c>
      <c r="W8" s="559"/>
      <c r="X8" s="560"/>
      <c r="Y8" s="561"/>
      <c r="Z8" s="522"/>
      <c r="AA8" s="561"/>
      <c r="AB8" s="561"/>
      <c r="AD8" s="522"/>
      <c r="AE8" s="522"/>
      <c r="AF8" s="522"/>
      <c r="AG8" s="522"/>
      <c r="AH8" s="522"/>
    </row>
    <row r="9" spans="1:34" s="566" customFormat="1" ht="12.75" x14ac:dyDescent="0.2">
      <c r="A9" s="562"/>
      <c r="B9" s="563"/>
      <c r="C9" s="563"/>
      <c r="D9" s="564"/>
      <c r="E9" s="564"/>
      <c r="F9" s="564"/>
      <c r="G9" s="564"/>
      <c r="H9" s="564"/>
      <c r="I9" s="564"/>
      <c r="J9" s="564"/>
      <c r="K9" s="564"/>
      <c r="L9" s="564"/>
      <c r="M9" s="564"/>
      <c r="N9" s="564"/>
      <c r="O9" s="564"/>
      <c r="P9" s="564"/>
      <c r="Q9" s="564"/>
      <c r="R9" s="565"/>
      <c r="S9" s="565"/>
      <c r="T9" s="565"/>
      <c r="U9" s="565"/>
      <c r="V9" s="565"/>
    </row>
    <row r="10" spans="1:34" s="566" customFormat="1" ht="12.75" x14ac:dyDescent="0.2">
      <c r="A10" s="562"/>
      <c r="B10" s="563"/>
      <c r="C10" s="563"/>
      <c r="D10" s="564"/>
      <c r="E10" s="564"/>
      <c r="F10" s="564"/>
      <c r="G10" s="564"/>
      <c r="H10" s="564"/>
      <c r="I10" s="564"/>
      <c r="J10" s="564"/>
      <c r="K10" s="564"/>
      <c r="L10" s="564"/>
      <c r="M10" s="564"/>
      <c r="N10" s="564"/>
      <c r="O10" s="564"/>
      <c r="P10" s="564"/>
      <c r="Q10" s="564"/>
      <c r="R10" s="565"/>
      <c r="S10" s="565"/>
      <c r="T10" s="565"/>
      <c r="U10" s="565"/>
      <c r="V10" s="565"/>
    </row>
    <row r="11" spans="1:34" s="566" customFormat="1" ht="12.75" x14ac:dyDescent="0.2">
      <c r="A11" s="562"/>
      <c r="B11" s="563"/>
      <c r="C11" s="563"/>
      <c r="D11" s="564"/>
      <c r="E11" s="564"/>
      <c r="F11" s="564"/>
      <c r="G11" s="564"/>
      <c r="H11" s="564"/>
      <c r="I11" s="564"/>
      <c r="J11" s="564"/>
      <c r="K11" s="564"/>
      <c r="L11" s="564"/>
      <c r="M11" s="564"/>
      <c r="N11" s="564"/>
      <c r="O11" s="564"/>
      <c r="P11" s="564"/>
      <c r="Q11" s="564"/>
      <c r="R11" s="565"/>
      <c r="S11" s="565"/>
      <c r="T11" s="565"/>
      <c r="U11" s="565"/>
      <c r="V11" s="565"/>
    </row>
    <row r="12" spans="1:34" s="566" customFormat="1" ht="12.75" x14ac:dyDescent="0.2">
      <c r="A12" s="562"/>
      <c r="B12" s="563"/>
      <c r="C12" s="563"/>
      <c r="D12" s="564"/>
      <c r="E12" s="564"/>
      <c r="F12" s="564"/>
      <c r="G12" s="564"/>
      <c r="H12" s="564"/>
      <c r="I12" s="564"/>
      <c r="J12" s="564"/>
      <c r="K12" s="564"/>
      <c r="L12" s="564"/>
      <c r="M12" s="564"/>
      <c r="N12" s="564"/>
      <c r="O12" s="564"/>
      <c r="P12" s="564"/>
      <c r="Q12" s="564"/>
      <c r="R12" s="565"/>
      <c r="S12" s="565"/>
      <c r="T12" s="565"/>
      <c r="U12" s="565"/>
      <c r="V12" s="565"/>
    </row>
    <row r="13" spans="1:34" x14ac:dyDescent="0.25">
      <c r="W13" s="522"/>
      <c r="X13" s="522"/>
      <c r="Y13" s="522"/>
      <c r="Z13" s="522"/>
      <c r="AA13" s="522"/>
      <c r="AB13" s="522"/>
      <c r="AC13" s="522"/>
      <c r="AD13" s="522"/>
      <c r="AE13" s="522"/>
      <c r="AF13" s="522"/>
      <c r="AG13" s="522"/>
      <c r="AH13" s="522"/>
    </row>
    <row r="14" spans="1:34" x14ac:dyDescent="0.25">
      <c r="B14" s="567" t="s">
        <v>1457</v>
      </c>
      <c r="C14" s="567"/>
      <c r="D14" s="526"/>
      <c r="E14" s="520" t="s">
        <v>1458</v>
      </c>
      <c r="F14" s="526"/>
      <c r="G14" s="526"/>
      <c r="H14" s="526"/>
      <c r="I14" s="526"/>
      <c r="J14" s="526"/>
      <c r="K14" s="526"/>
      <c r="W14" s="522"/>
      <c r="X14" s="522"/>
      <c r="Y14" s="522"/>
      <c r="Z14" s="522"/>
      <c r="AA14" s="522"/>
      <c r="AB14" s="522"/>
      <c r="AC14" s="522"/>
      <c r="AD14" s="522"/>
      <c r="AE14" s="522"/>
      <c r="AF14" s="522"/>
      <c r="AG14" s="522"/>
      <c r="AH14" s="522"/>
    </row>
    <row r="15" spans="1:34" x14ac:dyDescent="0.25">
      <c r="B15" s="568" t="s">
        <v>1354</v>
      </c>
      <c r="D15" s="569"/>
      <c r="E15" s="569"/>
      <c r="F15" s="569"/>
      <c r="G15" s="569"/>
      <c r="H15" s="569"/>
      <c r="I15" s="569"/>
      <c r="J15" s="569"/>
      <c r="K15" s="569"/>
      <c r="W15" s="522"/>
      <c r="X15" s="522"/>
      <c r="Y15" s="522"/>
      <c r="Z15" s="522"/>
      <c r="AA15" s="522"/>
      <c r="AB15" s="522"/>
      <c r="AC15" s="522"/>
      <c r="AD15" s="522"/>
      <c r="AE15" s="522"/>
      <c r="AF15" s="522"/>
      <c r="AG15" s="522"/>
      <c r="AH15" s="522"/>
    </row>
    <row r="16" spans="1:34" x14ac:dyDescent="0.25">
      <c r="D16" s="568"/>
      <c r="E16" s="568"/>
      <c r="F16" s="568"/>
      <c r="G16" s="568"/>
      <c r="H16" s="568"/>
      <c r="I16" s="568"/>
      <c r="J16" s="570"/>
      <c r="K16" s="568"/>
      <c r="W16" s="522"/>
      <c r="X16" s="522"/>
      <c r="Y16" s="522"/>
      <c r="Z16" s="522"/>
      <c r="AA16" s="522"/>
      <c r="AB16" s="522"/>
      <c r="AC16" s="522"/>
      <c r="AD16" s="522"/>
      <c r="AE16" s="522"/>
      <c r="AF16" s="522"/>
      <c r="AG16" s="522"/>
      <c r="AH16" s="522"/>
    </row>
    <row r="17" spans="3:34" x14ac:dyDescent="0.25">
      <c r="W17" s="522"/>
      <c r="X17" s="522"/>
      <c r="Y17" s="522"/>
      <c r="Z17" s="522"/>
      <c r="AA17" s="522"/>
      <c r="AB17" s="522"/>
      <c r="AC17" s="522"/>
      <c r="AD17" s="522"/>
      <c r="AE17" s="522"/>
      <c r="AF17" s="522"/>
      <c r="AG17" s="522"/>
      <c r="AH17" s="522"/>
    </row>
    <row r="18" spans="3:34" x14ac:dyDescent="0.25">
      <c r="V18" s="571"/>
      <c r="W18" s="522"/>
      <c r="X18" s="522"/>
      <c r="Y18" s="522"/>
      <c r="Z18" s="522"/>
      <c r="AA18" s="522"/>
      <c r="AB18" s="522"/>
      <c r="AC18" s="522"/>
      <c r="AD18" s="522"/>
      <c r="AE18" s="522"/>
      <c r="AF18" s="522"/>
      <c r="AG18" s="522"/>
      <c r="AH18" s="522"/>
    </row>
    <row r="19" spans="3:34" x14ac:dyDescent="0.25">
      <c r="W19" s="522"/>
      <c r="X19" s="522"/>
      <c r="Y19" s="522"/>
      <c r="Z19" s="522"/>
      <c r="AA19" s="522"/>
      <c r="AB19" s="522"/>
      <c r="AC19" s="522"/>
      <c r="AD19" s="522"/>
      <c r="AE19" s="522"/>
      <c r="AF19" s="522"/>
      <c r="AG19" s="522"/>
      <c r="AH19" s="522"/>
    </row>
    <row r="20" spans="3:34" x14ac:dyDescent="0.25">
      <c r="W20" s="522"/>
      <c r="X20" s="522"/>
      <c r="Y20" s="522"/>
      <c r="Z20" s="522"/>
      <c r="AA20" s="522"/>
      <c r="AB20" s="522"/>
      <c r="AC20" s="522"/>
      <c r="AD20" s="522"/>
      <c r="AE20" s="522"/>
      <c r="AF20" s="522"/>
      <c r="AG20" s="522"/>
      <c r="AH20" s="522"/>
    </row>
    <row r="21" spans="3:34" x14ac:dyDescent="0.25">
      <c r="D21" s="571"/>
      <c r="E21" s="571"/>
      <c r="F21" s="571"/>
      <c r="G21" s="571"/>
      <c r="H21" s="571"/>
      <c r="I21" s="571"/>
      <c r="J21" s="571"/>
      <c r="K21" s="571"/>
      <c r="W21" s="522"/>
      <c r="X21" s="522"/>
      <c r="Y21" s="522"/>
      <c r="Z21" s="522"/>
      <c r="AA21" s="522"/>
      <c r="AB21" s="522"/>
      <c r="AC21" s="522"/>
      <c r="AD21" s="522"/>
      <c r="AE21" s="522"/>
      <c r="AF21" s="522"/>
      <c r="AG21" s="522"/>
      <c r="AH21" s="522"/>
    </row>
    <row r="22" spans="3:34" x14ac:dyDescent="0.25">
      <c r="W22" s="522"/>
      <c r="X22" s="522"/>
      <c r="Y22" s="522"/>
      <c r="Z22" s="522"/>
      <c r="AA22" s="522"/>
      <c r="AB22" s="522"/>
      <c r="AC22" s="522"/>
      <c r="AD22" s="522"/>
      <c r="AE22" s="522"/>
      <c r="AF22" s="522"/>
      <c r="AG22" s="522"/>
      <c r="AH22" s="522"/>
    </row>
    <row r="23" spans="3:34" x14ac:dyDescent="0.25">
      <c r="W23" s="522"/>
      <c r="X23" s="522"/>
      <c r="Y23" s="522"/>
      <c r="Z23" s="522"/>
      <c r="AA23" s="522"/>
      <c r="AB23" s="522"/>
      <c r="AC23" s="522"/>
      <c r="AD23" s="522"/>
      <c r="AE23" s="522"/>
      <c r="AF23" s="522"/>
      <c r="AG23" s="522"/>
      <c r="AH23" s="522"/>
    </row>
    <row r="24" spans="3:34" x14ac:dyDescent="0.25">
      <c r="C24" s="572"/>
      <c r="W24" s="522"/>
      <c r="X24" s="522"/>
      <c r="Y24" s="522"/>
      <c r="Z24" s="522"/>
      <c r="AA24" s="522"/>
      <c r="AB24" s="522"/>
      <c r="AC24" s="522"/>
      <c r="AD24" s="522"/>
      <c r="AE24" s="522"/>
      <c r="AF24" s="522"/>
      <c r="AG24" s="522"/>
      <c r="AH24" s="522"/>
    </row>
    <row r="25" spans="3:34" x14ac:dyDescent="0.25">
      <c r="W25" s="522"/>
      <c r="X25" s="522"/>
      <c r="Y25" s="522"/>
      <c r="Z25" s="522"/>
      <c r="AA25" s="522"/>
      <c r="AB25" s="522"/>
      <c r="AC25" s="522"/>
      <c r="AD25" s="522"/>
      <c r="AE25" s="522"/>
      <c r="AF25" s="522"/>
      <c r="AG25" s="522"/>
      <c r="AH25" s="522"/>
    </row>
  </sheetData>
  <mergeCells count="21">
    <mergeCell ref="F5:F6"/>
    <mergeCell ref="G5:G6"/>
    <mergeCell ref="H5:H6"/>
    <mergeCell ref="I5:J5"/>
    <mergeCell ref="L5:N5"/>
    <mergeCell ref="O5:Q5"/>
    <mergeCell ref="B2:I2"/>
    <mergeCell ref="L2:V2"/>
    <mergeCell ref="A4:A6"/>
    <mergeCell ref="B4:B6"/>
    <mergeCell ref="C4:C6"/>
    <mergeCell ref="D4:D6"/>
    <mergeCell ref="E4:H4"/>
    <mergeCell ref="I4:K4"/>
    <mergeCell ref="L4:Q4"/>
    <mergeCell ref="R4:R6"/>
    <mergeCell ref="S4:S6"/>
    <mergeCell ref="T4:T6"/>
    <mergeCell ref="U4:U6"/>
    <mergeCell ref="V4:V6"/>
    <mergeCell ref="E5:E6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O44"/>
  <sheetViews>
    <sheetView workbookViewId="0">
      <selection activeCell="B41" sqref="B41"/>
    </sheetView>
  </sheetViews>
  <sheetFormatPr defaultRowHeight="15" x14ac:dyDescent="0.25"/>
  <cols>
    <col min="1" max="1" width="10.140625" bestFit="1" customWidth="1"/>
    <col min="2" max="2" width="9.7109375" bestFit="1" customWidth="1"/>
    <col min="3" max="3" width="8.7109375" bestFit="1" customWidth="1"/>
    <col min="4" max="4" width="10.140625" bestFit="1" customWidth="1"/>
    <col min="5" max="5" width="9.28515625" bestFit="1" customWidth="1"/>
    <col min="6" max="6" width="9.7109375" bestFit="1" customWidth="1"/>
    <col min="7" max="7" width="8.7109375" bestFit="1" customWidth="1"/>
    <col min="8" max="8" width="10.140625" bestFit="1" customWidth="1"/>
    <col min="9" max="9" width="9.28515625" bestFit="1" customWidth="1"/>
    <col min="10" max="10" width="9.7109375" bestFit="1" customWidth="1"/>
    <col min="11" max="11" width="8.7109375" bestFit="1" customWidth="1"/>
    <col min="12" max="12" width="10" customWidth="1"/>
    <col min="14" max="14" width="47" bestFit="1" customWidth="1"/>
    <col min="15" max="15" width="39" bestFit="1" customWidth="1"/>
  </cols>
  <sheetData>
    <row r="1" spans="1:1" s="43" customFormat="1" x14ac:dyDescent="0.25">
      <c r="A1" t="s">
        <v>1406</v>
      </c>
    </row>
    <row r="2" spans="1:1" s="43" customFormat="1" x14ac:dyDescent="0.25">
      <c r="A2" t="s">
        <v>1407</v>
      </c>
    </row>
    <row r="3" spans="1:1" s="43" customFormat="1" x14ac:dyDescent="0.25">
      <c r="A3" t="s">
        <v>1408</v>
      </c>
    </row>
    <row r="4" spans="1:1" s="43" customFormat="1" x14ac:dyDescent="0.25">
      <c r="A4" t="s">
        <v>1405</v>
      </c>
    </row>
    <row r="5" spans="1:1" s="43" customFormat="1" x14ac:dyDescent="0.25">
      <c r="A5" t="s">
        <v>1409</v>
      </c>
    </row>
    <row r="6" spans="1:1" s="43" customFormat="1" x14ac:dyDescent="0.25">
      <c r="A6" t="s">
        <v>1410</v>
      </c>
    </row>
    <row r="7" spans="1:1" s="43" customFormat="1" x14ac:dyDescent="0.25">
      <c r="A7" t="s">
        <v>1411</v>
      </c>
    </row>
    <row r="8" spans="1:1" s="43" customFormat="1" x14ac:dyDescent="0.25"/>
    <row r="9" spans="1:1" s="43" customFormat="1" hidden="1" x14ac:dyDescent="0.25"/>
    <row r="10" spans="1:1" s="43" customFormat="1" hidden="1" x14ac:dyDescent="0.25"/>
    <row r="11" spans="1:1" s="43" customFormat="1" hidden="1" x14ac:dyDescent="0.25"/>
    <row r="12" spans="1:1" s="43" customFormat="1" hidden="1" x14ac:dyDescent="0.25"/>
    <row r="13" spans="1:1" s="43" customFormat="1" hidden="1" x14ac:dyDescent="0.25"/>
    <row r="14" spans="1:1" s="43" customFormat="1" hidden="1" x14ac:dyDescent="0.25"/>
    <row r="15" spans="1:1" s="43" customFormat="1" hidden="1" x14ac:dyDescent="0.25"/>
    <row r="16" spans="1:1" s="43" customFormat="1" hidden="1" x14ac:dyDescent="0.25"/>
    <row r="17" s="43" customFormat="1" hidden="1" x14ac:dyDescent="0.25"/>
    <row r="18" s="43" customFormat="1" hidden="1" x14ac:dyDescent="0.25"/>
    <row r="19" s="43" customFormat="1" hidden="1" x14ac:dyDescent="0.25"/>
    <row r="20" s="43" customFormat="1" hidden="1" x14ac:dyDescent="0.25"/>
    <row r="21" s="43" customFormat="1" hidden="1" x14ac:dyDescent="0.25"/>
    <row r="22" s="43" customFormat="1" hidden="1" x14ac:dyDescent="0.25"/>
    <row r="23" s="43" customFormat="1" hidden="1" x14ac:dyDescent="0.25"/>
    <row r="24" s="43" customFormat="1" hidden="1" x14ac:dyDescent="0.25"/>
    <row r="25" s="43" customFormat="1" hidden="1" x14ac:dyDescent="0.25"/>
    <row r="26" s="43" customFormat="1" hidden="1" x14ac:dyDescent="0.25"/>
    <row r="27" s="43" customFormat="1" hidden="1" x14ac:dyDescent="0.25"/>
    <row r="28" s="43" customFormat="1" hidden="1" x14ac:dyDescent="0.25"/>
    <row r="29" s="43" customFormat="1" hidden="1" x14ac:dyDescent="0.25"/>
    <row r="30" s="43" customFormat="1" hidden="1" x14ac:dyDescent="0.25"/>
    <row r="31" s="43" customFormat="1" hidden="1" x14ac:dyDescent="0.25"/>
    <row r="32" s="43" customFormat="1" hidden="1" x14ac:dyDescent="0.25"/>
    <row r="33" spans="1:15" s="43" customFormat="1" x14ac:dyDescent="0.25"/>
    <row r="34" spans="1:15" s="43" customFormat="1" x14ac:dyDescent="0.25"/>
    <row r="35" spans="1:15" x14ac:dyDescent="0.25">
      <c r="A35" s="823" t="s">
        <v>1366</v>
      </c>
      <c r="B35" s="823"/>
      <c r="C35" s="823"/>
      <c r="D35" s="823"/>
      <c r="E35" s="823"/>
      <c r="F35" s="823"/>
      <c r="G35" s="823"/>
      <c r="H35" s="823"/>
      <c r="I35" s="823"/>
      <c r="J35" s="823"/>
      <c r="K35" s="823"/>
      <c r="L35" s="823"/>
      <c r="N35" s="824" t="s">
        <v>1378</v>
      </c>
      <c r="O35" s="825"/>
    </row>
    <row r="36" spans="1:15" x14ac:dyDescent="0.25">
      <c r="A36" s="276"/>
      <c r="B36" s="276" t="s">
        <v>1367</v>
      </c>
      <c r="C36" s="276" t="s">
        <v>1368</v>
      </c>
      <c r="D36" s="276" t="s">
        <v>1369</v>
      </c>
      <c r="E36" s="276" t="s">
        <v>1370</v>
      </c>
      <c r="F36" s="276" t="s">
        <v>1371</v>
      </c>
      <c r="G36" s="276" t="s">
        <v>1372</v>
      </c>
      <c r="H36" s="276" t="s">
        <v>1373</v>
      </c>
      <c r="I36" s="276" t="s">
        <v>1374</v>
      </c>
      <c r="J36" s="276" t="s">
        <v>1375</v>
      </c>
      <c r="K36" s="276" t="s">
        <v>1376</v>
      </c>
      <c r="L36" s="276" t="s">
        <v>1377</v>
      </c>
      <c r="N36" s="279" t="s">
        <v>1379</v>
      </c>
      <c r="O36" s="280"/>
    </row>
    <row r="37" spans="1:15" x14ac:dyDescent="0.25">
      <c r="A37" s="276">
        <v>2015</v>
      </c>
      <c r="B37" s="277">
        <v>6961.7972511641365</v>
      </c>
      <c r="C37" s="277">
        <v>2583.6922193433893</v>
      </c>
      <c r="D37" s="277">
        <v>2455.5729848423452</v>
      </c>
      <c r="E37" s="277">
        <v>1261.4117442837678</v>
      </c>
      <c r="F37" s="277">
        <v>73301.896185085046</v>
      </c>
      <c r="G37" s="277">
        <v>2556.245104781784</v>
      </c>
      <c r="H37" s="277">
        <v>3645.3136463737328</v>
      </c>
      <c r="I37" s="277">
        <v>2606.8842964868168</v>
      </c>
      <c r="J37" s="277">
        <v>4229.4700346379068</v>
      </c>
      <c r="K37" s="277">
        <v>5916.869565125985</v>
      </c>
      <c r="L37" s="277">
        <v>3779.3229666910788</v>
      </c>
      <c r="N37" s="279"/>
      <c r="O37" s="279"/>
    </row>
    <row r="38" spans="1:15" x14ac:dyDescent="0.25">
      <c r="A38" s="276">
        <v>2016</v>
      </c>
      <c r="B38" s="277">
        <v>6760.1098896230578</v>
      </c>
      <c r="C38" s="277">
        <v>2508.8411359300585</v>
      </c>
      <c r="D38" s="277">
        <v>2384.4335910167651</v>
      </c>
      <c r="E38" s="277">
        <v>1224.8679040449586</v>
      </c>
      <c r="F38" s="277">
        <v>71178.297133840679</v>
      </c>
      <c r="G38" s="277">
        <v>2482.1891804226648</v>
      </c>
      <c r="H38" s="277">
        <v>3539.7067657361413</v>
      </c>
      <c r="I38" s="277">
        <v>2531.3613249562422</v>
      </c>
      <c r="J38" s="277">
        <v>4106.9397998108961</v>
      </c>
      <c r="K38" s="277">
        <v>5745.4543733127757</v>
      </c>
      <c r="L38" s="277">
        <v>3669.8337572148812</v>
      </c>
    </row>
    <row r="39" spans="1:15" x14ac:dyDescent="0.25">
      <c r="A39" s="276">
        <v>2017</v>
      </c>
      <c r="B39" s="277">
        <v>6515.001389108982</v>
      </c>
      <c r="C39" s="277">
        <v>2417.8754121627876</v>
      </c>
      <c r="D39" s="277">
        <v>2297.9786440392536</v>
      </c>
      <c r="E39" s="277">
        <v>1180.4565645563605</v>
      </c>
      <c r="F39" s="277">
        <v>68597.509844213666</v>
      </c>
      <c r="G39" s="277">
        <v>2392.1898049776619</v>
      </c>
      <c r="H39" s="277">
        <v>3411.3638494559009</v>
      </c>
      <c r="I39" s="277">
        <v>2439.5790627223446</v>
      </c>
      <c r="J39" s="277">
        <v>3958.0301115854941</v>
      </c>
      <c r="K39" s="277">
        <v>5537.1353179707248</v>
      </c>
      <c r="L39" s="277">
        <v>3536.7726880823157</v>
      </c>
    </row>
    <row r="40" spans="1:15" x14ac:dyDescent="0.25">
      <c r="A40" s="276">
        <v>2018</v>
      </c>
      <c r="B40" s="277">
        <v>6964.5364849575017</v>
      </c>
      <c r="C40" s="277">
        <v>2584.70881560202</v>
      </c>
      <c r="D40" s="277">
        <v>2456.5391704779627</v>
      </c>
      <c r="E40" s="277">
        <v>1261.9080675107496</v>
      </c>
      <c r="F40" s="277">
        <v>73330.738023464408</v>
      </c>
      <c r="G40" s="277">
        <v>2557.2509015211203</v>
      </c>
      <c r="H40" s="277">
        <v>3646.7479550683584</v>
      </c>
      <c r="I40" s="277">
        <v>2607.9100180501869</v>
      </c>
      <c r="J40" s="277">
        <v>4231.1341892848932</v>
      </c>
      <c r="K40" s="277">
        <v>5919.1976549107058</v>
      </c>
      <c r="L40" s="277">
        <v>3780.810003559995</v>
      </c>
    </row>
    <row r="41" spans="1:15" x14ac:dyDescent="0.25">
      <c r="A41" s="276">
        <v>2019</v>
      </c>
      <c r="B41" s="277">
        <v>7347.5859916301633</v>
      </c>
      <c r="C41" s="277">
        <v>2726.8678004601311</v>
      </c>
      <c r="D41" s="277">
        <v>2591.6488248542501</v>
      </c>
      <c r="E41" s="277">
        <v>1331.3130112238407</v>
      </c>
      <c r="F41" s="277">
        <v>77363.928614754957</v>
      </c>
      <c r="G41" s="277">
        <v>2697.8997011047818</v>
      </c>
      <c r="H41" s="277">
        <v>3847.3190925971176</v>
      </c>
      <c r="I41" s="277">
        <v>2751.3450690429468</v>
      </c>
      <c r="J41" s="277">
        <v>4463.8465696955618</v>
      </c>
      <c r="K41" s="277">
        <v>6244.7535259307942</v>
      </c>
      <c r="L41" s="277">
        <v>3988.7545537557944</v>
      </c>
    </row>
    <row r="42" spans="1:15" x14ac:dyDescent="0.25">
      <c r="A42" s="276">
        <v>2020</v>
      </c>
      <c r="B42" s="277">
        <v>4862.0600000000004</v>
      </c>
      <c r="C42" s="277">
        <v>0</v>
      </c>
      <c r="D42" s="277">
        <v>1120.32</v>
      </c>
      <c r="E42" s="277">
        <v>1224.96</v>
      </c>
      <c r="F42" s="277">
        <v>0</v>
      </c>
      <c r="G42" s="277">
        <v>0</v>
      </c>
      <c r="H42" s="277">
        <v>6555.93</v>
      </c>
      <c r="I42" s="277">
        <v>1450</v>
      </c>
      <c r="J42" s="277">
        <v>4903.88</v>
      </c>
      <c r="K42" s="277">
        <v>0</v>
      </c>
      <c r="L42" s="277">
        <v>3357.44</v>
      </c>
    </row>
    <row r="43" spans="1:15" x14ac:dyDescent="0.25">
      <c r="A43" s="276">
        <v>2021</v>
      </c>
      <c r="B43" s="277">
        <v>4862.0600000000004</v>
      </c>
      <c r="C43" s="277">
        <v>0</v>
      </c>
      <c r="D43" s="277">
        <v>1120.32</v>
      </c>
      <c r="E43" s="277">
        <v>1224.96</v>
      </c>
      <c r="F43" s="277">
        <v>0</v>
      </c>
      <c r="G43" s="277">
        <v>0</v>
      </c>
      <c r="H43" s="277">
        <v>6555.93</v>
      </c>
      <c r="I43" s="277">
        <v>1450</v>
      </c>
      <c r="J43" s="277">
        <v>4903.88</v>
      </c>
      <c r="K43" s="277">
        <v>0</v>
      </c>
      <c r="L43" s="277">
        <v>3357.44</v>
      </c>
    </row>
    <row r="44" spans="1:15" x14ac:dyDescent="0.25">
      <c r="A44" s="276">
        <v>2022</v>
      </c>
      <c r="B44" s="277">
        <v>4862.0600000000004</v>
      </c>
      <c r="C44" s="277">
        <v>0</v>
      </c>
      <c r="D44" s="277">
        <v>1120.32</v>
      </c>
      <c r="E44" s="277">
        <v>1224.96</v>
      </c>
      <c r="F44" s="277">
        <v>0</v>
      </c>
      <c r="G44" s="277">
        <v>0</v>
      </c>
      <c r="H44" s="277">
        <v>6555.93</v>
      </c>
      <c r="I44" s="277">
        <v>1450</v>
      </c>
      <c r="J44" s="277">
        <v>4903.88</v>
      </c>
      <c r="K44" s="277">
        <v>0</v>
      </c>
      <c r="L44" s="277">
        <v>3357.44</v>
      </c>
    </row>
  </sheetData>
  <mergeCells count="2">
    <mergeCell ref="A35:L35"/>
    <mergeCell ref="N35:O3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7" tint="0.59999389629810485"/>
    <pageSetUpPr fitToPage="1"/>
  </sheetPr>
  <dimension ref="A2:AA43"/>
  <sheetViews>
    <sheetView zoomScale="70" zoomScaleNormal="70" workbookViewId="0">
      <pane xSplit="6" ySplit="17" topLeftCell="G18" activePane="bottomRight" state="frozen"/>
      <selection activeCell="C8" sqref="C8"/>
      <selection pane="topRight" activeCell="C8" sqref="C8"/>
      <selection pane="bottomLeft" activeCell="C8" sqref="C8"/>
      <selection pane="bottomRight" activeCell="C8" sqref="C8"/>
    </sheetView>
  </sheetViews>
  <sheetFormatPr defaultColWidth="9.140625" defaultRowHeight="15" x14ac:dyDescent="0.25"/>
  <cols>
    <col min="1" max="1" width="9.140625" style="8"/>
    <col min="2" max="2" width="17.28515625" style="8" customWidth="1"/>
    <col min="3" max="3" width="31.5703125" style="8" customWidth="1"/>
    <col min="4" max="4" width="20.140625" style="8" customWidth="1"/>
    <col min="5" max="5" width="14.42578125" style="8" customWidth="1"/>
    <col min="6" max="6" width="13.140625" style="8" customWidth="1"/>
    <col min="7" max="17" width="15.7109375" style="8" hidden="1" customWidth="1"/>
    <col min="18" max="18" width="15.7109375" style="8" customWidth="1"/>
    <col min="19" max="23" width="15.7109375" style="8" hidden="1" customWidth="1"/>
    <col min="24" max="24" width="13.140625" style="8" customWidth="1"/>
    <col min="25" max="16384" width="9.140625" style="8"/>
  </cols>
  <sheetData>
    <row r="2" spans="1:27" x14ac:dyDescent="0.25">
      <c r="A2" s="393"/>
      <c r="B2" s="393"/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393"/>
      <c r="N2" s="393"/>
      <c r="O2" s="393"/>
      <c r="P2" s="393"/>
      <c r="Q2" s="393"/>
      <c r="R2" s="393"/>
      <c r="S2" s="393"/>
      <c r="T2" s="393"/>
      <c r="U2" s="393"/>
      <c r="V2" s="393"/>
      <c r="W2" s="393"/>
      <c r="X2" s="393"/>
      <c r="Y2" s="393"/>
      <c r="Z2" s="393"/>
      <c r="AA2" s="393"/>
    </row>
    <row r="3" spans="1:27" x14ac:dyDescent="0.25">
      <c r="A3" s="393"/>
      <c r="B3" s="393"/>
      <c r="C3" s="393"/>
      <c r="D3" s="393"/>
      <c r="E3" s="393"/>
      <c r="F3" s="393"/>
      <c r="G3" s="393"/>
      <c r="H3" s="393"/>
      <c r="I3" s="393"/>
      <c r="J3" s="393"/>
      <c r="K3" s="393"/>
      <c r="L3" s="393"/>
      <c r="M3" s="393"/>
      <c r="N3" s="393"/>
      <c r="O3" s="393"/>
      <c r="P3" s="393"/>
      <c r="Q3" s="393"/>
      <c r="R3" s="393"/>
      <c r="S3" s="393"/>
      <c r="T3" s="393"/>
      <c r="U3" s="393"/>
      <c r="V3" s="393"/>
      <c r="W3" s="393"/>
      <c r="X3" s="393"/>
      <c r="Y3" s="393"/>
      <c r="Z3" s="393"/>
      <c r="AA3" s="393"/>
    </row>
    <row r="4" spans="1:27" ht="15.75" x14ac:dyDescent="0.25">
      <c r="A4" s="393"/>
      <c r="B4" s="394" t="s">
        <v>1413</v>
      </c>
      <c r="C4" s="393"/>
      <c r="D4" s="393"/>
      <c r="E4" s="393"/>
      <c r="F4" s="393"/>
      <c r="G4" s="393"/>
      <c r="H4" s="393"/>
      <c r="I4" s="393"/>
      <c r="J4" s="393"/>
      <c r="K4" s="393"/>
      <c r="L4" s="393"/>
      <c r="M4" s="393"/>
      <c r="N4" s="393"/>
      <c r="O4" s="393"/>
      <c r="P4" s="393"/>
      <c r="Q4" s="393"/>
      <c r="R4" s="393"/>
      <c r="S4" s="393"/>
      <c r="T4" s="393"/>
      <c r="U4" s="393"/>
      <c r="V4" s="393"/>
      <c r="W4" s="393"/>
      <c r="X4" s="393"/>
      <c r="Y4" s="393"/>
      <c r="Z4" s="393"/>
      <c r="AA4" s="393"/>
    </row>
    <row r="5" spans="1:27" x14ac:dyDescent="0.25">
      <c r="A5" s="393"/>
      <c r="B5" s="393" t="s">
        <v>1355</v>
      </c>
      <c r="C5" s="393" t="str">
        <f>IF('Расчет стоимости'!C5="","",'Расчет стоимости'!C5)</f>
        <v>I_005-51-1-03.13-0007</v>
      </c>
      <c r="D5" s="393"/>
      <c r="E5" s="393"/>
      <c r="F5" s="393"/>
      <c r="G5" s="393"/>
      <c r="H5" s="393"/>
      <c r="I5" s="393"/>
      <c r="J5" s="393"/>
      <c r="K5" s="393"/>
      <c r="L5" s="393"/>
      <c r="M5" s="393"/>
      <c r="N5" s="393"/>
      <c r="O5" s="393"/>
      <c r="P5" s="393"/>
      <c r="Q5" s="393"/>
      <c r="R5" s="393"/>
      <c r="S5" s="393"/>
      <c r="T5" s="393"/>
      <c r="U5" s="393"/>
      <c r="V5" s="393"/>
      <c r="W5" s="393"/>
      <c r="X5" s="393"/>
      <c r="Y5" s="393"/>
      <c r="Z5" s="393"/>
      <c r="AA5" s="393"/>
    </row>
    <row r="6" spans="1:27" ht="45" customHeight="1" x14ac:dyDescent="0.25">
      <c r="A6" s="393"/>
      <c r="B6" s="395" t="s">
        <v>1192</v>
      </c>
      <c r="C6" s="620" t="str">
        <f>IF('Расчет стоимости'!C6="","",'Расчет стоимости'!C6)</f>
        <v>Техническое перевооружение ПС 110/6,6/6,3 кВ «Воргашорская»: замена ОД и КЗ 110 кВ на элегазовые выключатели 110 кВ (2 шт.) г. Воркута Республика Коми</v>
      </c>
      <c r="D6" s="620"/>
      <c r="E6" s="620"/>
      <c r="F6" s="620"/>
      <c r="G6" s="620"/>
      <c r="H6" s="620"/>
      <c r="I6" s="620"/>
      <c r="J6" s="620"/>
      <c r="K6" s="620"/>
      <c r="L6" s="620"/>
      <c r="M6" s="620"/>
      <c r="N6" s="396"/>
      <c r="O6" s="396"/>
      <c r="P6" s="396"/>
      <c r="Q6" s="396"/>
      <c r="R6" s="396"/>
      <c r="S6" s="396"/>
      <c r="T6" s="396"/>
      <c r="U6" s="396"/>
      <c r="V6" s="396"/>
      <c r="W6" s="396"/>
      <c r="X6" s="393"/>
      <c r="Y6" s="393"/>
      <c r="Z6" s="393"/>
      <c r="AA6" s="393"/>
    </row>
    <row r="7" spans="1:27" x14ac:dyDescent="0.25">
      <c r="A7" s="393"/>
      <c r="B7" s="393"/>
      <c r="C7" s="393"/>
      <c r="D7" s="393"/>
      <c r="E7" s="393"/>
      <c r="F7" s="393"/>
      <c r="G7" s="393"/>
      <c r="H7" s="393"/>
      <c r="I7" s="393"/>
      <c r="J7" s="393"/>
      <c r="K7" s="393"/>
      <c r="L7" s="393"/>
      <c r="M7" s="393"/>
      <c r="N7" s="393"/>
      <c r="O7" s="393"/>
      <c r="P7" s="393"/>
      <c r="Q7" s="393"/>
      <c r="R7" s="393"/>
      <c r="S7" s="393"/>
      <c r="T7" s="393"/>
      <c r="U7" s="393"/>
      <c r="V7" s="393"/>
      <c r="W7" s="393"/>
      <c r="X7" s="393"/>
      <c r="Y7" s="393"/>
      <c r="Z7" s="393"/>
      <c r="AA7" s="393"/>
    </row>
    <row r="8" spans="1:27" x14ac:dyDescent="0.25">
      <c r="A8" s="393"/>
      <c r="B8" s="393" t="s">
        <v>0</v>
      </c>
      <c r="C8" s="621" t="str">
        <f>IF('Расчет стоимости'!C11="","",'Расчет стоимости'!C11)</f>
        <v>Республика Коми</v>
      </c>
      <c r="D8" s="621"/>
      <c r="E8" s="621"/>
      <c r="F8" s="621"/>
      <c r="G8" s="393"/>
      <c r="H8" s="393"/>
      <c r="I8" s="393"/>
      <c r="J8" s="393"/>
      <c r="K8" s="393"/>
      <c r="L8" s="393"/>
      <c r="M8" s="393"/>
      <c r="N8" s="393"/>
      <c r="O8" s="393"/>
      <c r="P8" s="393"/>
      <c r="Q8" s="393"/>
      <c r="R8" s="393"/>
      <c r="S8" s="393"/>
      <c r="T8" s="393"/>
      <c r="U8" s="393"/>
      <c r="V8" s="393"/>
      <c r="W8" s="393"/>
      <c r="X8" s="393"/>
      <c r="Y8" s="393"/>
      <c r="Z8" s="393"/>
      <c r="AA8" s="393"/>
    </row>
    <row r="9" spans="1:27" x14ac:dyDescent="0.25">
      <c r="A9" s="393"/>
      <c r="B9" s="393" t="s">
        <v>501</v>
      </c>
      <c r="C9" s="393"/>
      <c r="D9" s="393"/>
      <c r="E9" s="247">
        <v>2025</v>
      </c>
      <c r="F9" s="393"/>
      <c r="G9" s="393"/>
      <c r="H9" s="393"/>
      <c r="I9" s="393"/>
      <c r="J9" s="393"/>
      <c r="K9" s="393"/>
      <c r="L9" s="393"/>
      <c r="M9" s="393"/>
      <c r="N9" s="393"/>
      <c r="O9" s="393"/>
      <c r="P9" s="393"/>
      <c r="Q9" s="393"/>
      <c r="R9" s="393"/>
      <c r="S9" s="393"/>
      <c r="T9" s="393"/>
      <c r="U9" s="393"/>
      <c r="V9" s="393"/>
      <c r="W9" s="393"/>
      <c r="X9" s="393"/>
      <c r="Y9" s="393"/>
      <c r="Z9" s="393"/>
      <c r="AA9" s="393"/>
    </row>
    <row r="10" spans="1:27" x14ac:dyDescent="0.25">
      <c r="A10" s="393"/>
      <c r="B10" s="393"/>
      <c r="C10" s="393"/>
      <c r="D10" s="393"/>
      <c r="E10" s="393"/>
      <c r="F10" s="393"/>
      <c r="G10" s="393"/>
      <c r="H10" s="393"/>
      <c r="I10" s="393"/>
      <c r="J10" s="393"/>
      <c r="K10" s="393"/>
      <c r="L10" s="393"/>
      <c r="M10" s="393"/>
      <c r="N10" s="393"/>
      <c r="O10" s="393"/>
      <c r="P10" s="393"/>
      <c r="Q10" s="393"/>
      <c r="R10" s="393"/>
      <c r="S10" s="393"/>
      <c r="T10" s="393"/>
      <c r="U10" s="393"/>
      <c r="V10" s="393"/>
      <c r="W10" s="393"/>
      <c r="X10" s="393"/>
      <c r="Y10" s="393"/>
      <c r="Z10" s="393"/>
      <c r="AA10" s="393"/>
    </row>
    <row r="11" spans="1:27" x14ac:dyDescent="0.25">
      <c r="A11" s="393"/>
      <c r="B11" s="393"/>
      <c r="C11" s="393"/>
      <c r="D11" s="393"/>
      <c r="E11" s="393"/>
      <c r="F11" s="393"/>
      <c r="G11" s="393"/>
      <c r="H11" s="393"/>
      <c r="I11" s="393"/>
      <c r="J11" s="393"/>
      <c r="K11" s="393"/>
      <c r="L11" s="393"/>
      <c r="M11" s="393"/>
      <c r="N11" s="393"/>
      <c r="O11" s="393"/>
      <c r="P11" s="393"/>
      <c r="Q11" s="393"/>
      <c r="R11" s="393"/>
      <c r="S11" s="393"/>
      <c r="T11" s="393"/>
      <c r="U11" s="393"/>
      <c r="V11" s="393"/>
      <c r="W11" s="393"/>
      <c r="X11" s="393"/>
      <c r="Y11" s="393"/>
      <c r="Z11" s="393"/>
      <c r="AA11" s="393"/>
    </row>
    <row r="12" spans="1:27" ht="30" customHeight="1" x14ac:dyDescent="0.25">
      <c r="A12" s="393"/>
      <c r="B12" s="393"/>
      <c r="C12" s="624" t="s">
        <v>481</v>
      </c>
      <c r="D12" s="622" t="s">
        <v>502</v>
      </c>
      <c r="E12" s="397" t="s">
        <v>2</v>
      </c>
      <c r="F12" s="625" t="s">
        <v>503</v>
      </c>
      <c r="G12" s="626"/>
      <c r="H12" s="626"/>
      <c r="I12" s="626"/>
      <c r="J12" s="626"/>
      <c r="K12" s="626"/>
      <c r="L12" s="626"/>
      <c r="M12" s="626"/>
      <c r="N12" s="626"/>
      <c r="O12" s="626"/>
      <c r="P12" s="626"/>
      <c r="Q12" s="626"/>
      <c r="R12" s="626"/>
      <c r="S12" s="626"/>
      <c r="T12" s="626"/>
      <c r="U12" s="626"/>
      <c r="V12" s="626"/>
      <c r="W12" s="627"/>
      <c r="X12" s="623" t="s">
        <v>1246</v>
      </c>
      <c r="Y12" s="393"/>
      <c r="Z12" s="393"/>
      <c r="AA12" s="393"/>
    </row>
    <row r="13" spans="1:27" x14ac:dyDescent="0.25">
      <c r="A13" s="393"/>
      <c r="B13" s="393"/>
      <c r="C13" s="624"/>
      <c r="D13" s="622"/>
      <c r="E13" s="398" t="s">
        <v>82</v>
      </c>
      <c r="F13" s="371" t="s">
        <v>82</v>
      </c>
      <c r="G13" s="399">
        <v>2014</v>
      </c>
      <c r="H13" s="399">
        <v>2015</v>
      </c>
      <c r="I13" s="399">
        <v>2016</v>
      </c>
      <c r="J13" s="399">
        <v>2017</v>
      </c>
      <c r="K13" s="399">
        <v>2018</v>
      </c>
      <c r="L13" s="399">
        <v>2019</v>
      </c>
      <c r="M13" s="399">
        <v>2020</v>
      </c>
      <c r="N13" s="399">
        <v>2021</v>
      </c>
      <c r="O13" s="399">
        <v>2022</v>
      </c>
      <c r="P13" s="399">
        <v>2023</v>
      </c>
      <c r="Q13" s="399">
        <v>2024</v>
      </c>
      <c r="R13" s="399">
        <v>2025</v>
      </c>
      <c r="S13" s="399">
        <v>2026</v>
      </c>
      <c r="T13" s="399">
        <v>2027</v>
      </c>
      <c r="U13" s="399">
        <v>2028</v>
      </c>
      <c r="V13" s="399">
        <v>2029</v>
      </c>
      <c r="W13" s="399">
        <v>2030</v>
      </c>
      <c r="X13" s="623"/>
      <c r="Y13" s="393"/>
      <c r="Z13" s="393"/>
      <c r="AA13" s="393"/>
    </row>
    <row r="14" spans="1:27" x14ac:dyDescent="0.25">
      <c r="A14" s="393"/>
      <c r="B14" s="393"/>
      <c r="C14" s="400"/>
      <c r="D14" s="400" t="s">
        <v>499</v>
      </c>
      <c r="E14" s="401"/>
      <c r="F14" s="401"/>
      <c r="G14" s="402">
        <v>0.92500000000000004</v>
      </c>
      <c r="H14" s="402">
        <v>0.85</v>
      </c>
      <c r="I14" s="402">
        <v>0.77500000000000002</v>
      </c>
      <c r="J14" s="402">
        <v>0.7</v>
      </c>
      <c r="K14" s="402">
        <v>0.7</v>
      </c>
      <c r="L14" s="402">
        <v>0.7</v>
      </c>
      <c r="M14" s="402">
        <v>0.7</v>
      </c>
      <c r="N14" s="402">
        <v>0.7</v>
      </c>
      <c r="O14" s="402">
        <v>0.7</v>
      </c>
      <c r="P14" s="402">
        <v>0.7</v>
      </c>
      <c r="Q14" s="402">
        <v>0.7</v>
      </c>
      <c r="R14" s="402">
        <v>0.7</v>
      </c>
      <c r="S14" s="402">
        <v>0.7</v>
      </c>
      <c r="T14" s="402">
        <v>0.7</v>
      </c>
      <c r="U14" s="402">
        <v>0.7</v>
      </c>
      <c r="V14" s="402">
        <v>0.7</v>
      </c>
      <c r="W14" s="402">
        <v>0.7</v>
      </c>
      <c r="X14" s="623"/>
      <c r="Y14" s="393"/>
      <c r="Z14" s="393"/>
      <c r="AA14" s="393"/>
    </row>
    <row r="15" spans="1:27" x14ac:dyDescent="0.25">
      <c r="A15" s="393"/>
      <c r="B15" s="393"/>
      <c r="C15" s="628"/>
      <c r="D15" s="630" t="s">
        <v>500</v>
      </c>
      <c r="E15" s="631"/>
      <c r="F15" s="403" t="s">
        <v>1312</v>
      </c>
      <c r="G15" s="402">
        <f>(106*104.9)/100</f>
        <v>111.19400000000002</v>
      </c>
      <c r="H15" s="404">
        <v>114.3</v>
      </c>
      <c r="I15" s="404">
        <v>106.3</v>
      </c>
      <c r="J15" s="404">
        <v>104.4</v>
      </c>
      <c r="K15" s="404">
        <v>104.6</v>
      </c>
      <c r="L15" s="404">
        <v>104.4</v>
      </c>
      <c r="M15" s="404">
        <v>104.2</v>
      </c>
      <c r="N15" s="404">
        <v>104.2</v>
      </c>
      <c r="O15" s="404">
        <v>104.2</v>
      </c>
      <c r="P15" s="404">
        <v>104.2</v>
      </c>
      <c r="Q15" s="404">
        <v>104.2</v>
      </c>
      <c r="R15" s="404">
        <v>104.2</v>
      </c>
      <c r="S15" s="404">
        <v>102.58112053033787</v>
      </c>
      <c r="T15" s="404">
        <v>102.5538645931114</v>
      </c>
      <c r="U15" s="404">
        <v>102.36631073930793</v>
      </c>
      <c r="V15" s="404">
        <v>102.07978211394257</v>
      </c>
      <c r="W15" s="404">
        <v>101.96924524560976</v>
      </c>
      <c r="X15" s="623"/>
      <c r="Y15" s="393"/>
      <c r="Z15" s="393"/>
      <c r="AA15" s="393"/>
    </row>
    <row r="16" spans="1:27" x14ac:dyDescent="0.25">
      <c r="A16" s="393"/>
      <c r="B16" s="393"/>
      <c r="C16" s="629"/>
      <c r="D16" s="632"/>
      <c r="E16" s="633"/>
      <c r="F16" s="403" t="s">
        <v>1313</v>
      </c>
      <c r="G16" s="248">
        <f>G15%</f>
        <v>1.1119400000000002</v>
      </c>
      <c r="H16" s="248">
        <f>G16*H15%</f>
        <v>1.2709474200000002</v>
      </c>
      <c r="I16" s="248">
        <f>H16*I15%</f>
        <v>1.3510171074600001</v>
      </c>
      <c r="J16" s="248">
        <f t="shared" ref="J16:W16" si="0">I16*J15%</f>
        <v>1.4104618601882402</v>
      </c>
      <c r="K16" s="248">
        <f t="shared" si="0"/>
        <v>1.4753431057568993</v>
      </c>
      <c r="L16" s="248">
        <f t="shared" si="0"/>
        <v>1.5402582024102029</v>
      </c>
      <c r="M16" s="248">
        <f t="shared" si="0"/>
        <v>1.6049490469114316</v>
      </c>
      <c r="N16" s="248">
        <f t="shared" si="0"/>
        <v>1.6723569068817117</v>
      </c>
      <c r="O16" s="248">
        <f t="shared" si="0"/>
        <v>1.7425958969707436</v>
      </c>
      <c r="P16" s="248">
        <f t="shared" si="0"/>
        <v>1.8157849246435149</v>
      </c>
      <c r="Q16" s="248">
        <f t="shared" si="0"/>
        <v>1.8920478914785426</v>
      </c>
      <c r="R16" s="248">
        <f t="shared" si="0"/>
        <v>1.9715139029206414</v>
      </c>
      <c r="S16" s="248">
        <f t="shared" si="0"/>
        <v>2.0224010530273917</v>
      </c>
      <c r="T16" s="248">
        <f t="shared" si="0"/>
        <v>2.0740504374513704</v>
      </c>
      <c r="U16" s="248">
        <f t="shared" si="0"/>
        <v>2.1231289156914452</v>
      </c>
      <c r="V16" s="248">
        <f t="shared" si="0"/>
        <v>2.167285371135939</v>
      </c>
      <c r="W16" s="248">
        <f t="shared" si="0"/>
        <v>2.2099645352658293</v>
      </c>
      <c r="X16" s="623"/>
      <c r="Y16" s="393"/>
      <c r="Z16" s="393"/>
      <c r="AA16" s="393"/>
    </row>
    <row r="17" spans="1:27" x14ac:dyDescent="0.25">
      <c r="A17" s="393"/>
      <c r="B17" s="393"/>
      <c r="C17" s="405" t="s">
        <v>246</v>
      </c>
      <c r="D17" s="406">
        <f ca="1">SUM(D18:D35)</f>
        <v>4053.23</v>
      </c>
      <c r="E17" s="406"/>
      <c r="F17" s="407">
        <f ca="1">SUM(F18:F35)</f>
        <v>20124.23</v>
      </c>
      <c r="G17" s="407">
        <f t="shared" ref="G17:W17" si="1">IF(SUM(G18:G35)=0,0,SUM(G18:G35))</f>
        <v>0</v>
      </c>
      <c r="H17" s="407">
        <f t="shared" si="1"/>
        <v>0</v>
      </c>
      <c r="I17" s="407">
        <f t="shared" si="1"/>
        <v>0</v>
      </c>
      <c r="J17" s="407">
        <f t="shared" si="1"/>
        <v>0</v>
      </c>
      <c r="K17" s="407">
        <f t="shared" si="1"/>
        <v>0</v>
      </c>
      <c r="L17" s="407">
        <f t="shared" si="1"/>
        <v>0</v>
      </c>
      <c r="M17" s="407">
        <f t="shared" si="1"/>
        <v>0</v>
      </c>
      <c r="N17" s="407">
        <f t="shared" si="1"/>
        <v>0</v>
      </c>
      <c r="O17" s="407">
        <f t="shared" si="1"/>
        <v>0</v>
      </c>
      <c r="P17" s="407">
        <f t="shared" si="1"/>
        <v>0</v>
      </c>
      <c r="Q17" s="407">
        <f t="shared" si="1"/>
        <v>0</v>
      </c>
      <c r="R17" s="407">
        <f t="shared" ca="1" si="1"/>
        <v>39675.189999999995</v>
      </c>
      <c r="S17" s="407">
        <f t="shared" si="1"/>
        <v>0</v>
      </c>
      <c r="T17" s="407">
        <f t="shared" si="1"/>
        <v>0</v>
      </c>
      <c r="U17" s="407">
        <f t="shared" si="1"/>
        <v>0</v>
      </c>
      <c r="V17" s="407">
        <f t="shared" si="1"/>
        <v>0</v>
      </c>
      <c r="W17" s="407">
        <f t="shared" si="1"/>
        <v>0</v>
      </c>
      <c r="X17" s="407">
        <f ca="1">SUM(X18:X35)</f>
        <v>27772.639999999996</v>
      </c>
      <c r="Y17" s="393"/>
      <c r="Z17" s="393"/>
      <c r="AA17" s="393"/>
    </row>
    <row r="18" spans="1:27" ht="30" hidden="1" x14ac:dyDescent="0.25">
      <c r="A18" s="393"/>
      <c r="B18" s="393"/>
      <c r="C18" s="408" t="str">
        <f>'Расчет стоимости'!C355</f>
        <v>Проектно-изыскательские работы ВЛ</v>
      </c>
      <c r="D18" s="409">
        <f ca="1">'Расчет стоимости'!I329</f>
        <v>0</v>
      </c>
      <c r="E18" s="409">
        <f>'Расчет стоимости'!E329</f>
        <v>3.53</v>
      </c>
      <c r="F18" s="410">
        <f ca="1">ROUND(D18*E18,2)</f>
        <v>0</v>
      </c>
      <c r="G18" s="410" t="str">
        <f t="shared" ref="G18:P27" si="2">IF($E$9=G$13,ROUND($F18*G$16,2),"")</f>
        <v/>
      </c>
      <c r="H18" s="410" t="str">
        <f t="shared" si="2"/>
        <v/>
      </c>
      <c r="I18" s="410" t="str">
        <f t="shared" si="2"/>
        <v/>
      </c>
      <c r="J18" s="410" t="str">
        <f t="shared" si="2"/>
        <v/>
      </c>
      <c r="K18" s="410" t="str">
        <f t="shared" si="2"/>
        <v/>
      </c>
      <c r="L18" s="410" t="str">
        <f t="shared" si="2"/>
        <v/>
      </c>
      <c r="M18" s="410" t="str">
        <f t="shared" si="2"/>
        <v/>
      </c>
      <c r="N18" s="410" t="str">
        <f t="shared" si="2"/>
        <v/>
      </c>
      <c r="O18" s="410" t="str">
        <f t="shared" si="2"/>
        <v/>
      </c>
      <c r="P18" s="410" t="str">
        <f t="shared" si="2"/>
        <v/>
      </c>
      <c r="Q18" s="410" t="str">
        <f t="shared" ref="Q18:W27" si="3">IF($E$9=Q$13,ROUND($F18*Q$16,2),"")</f>
        <v/>
      </c>
      <c r="R18" s="410">
        <f t="shared" ca="1" si="3"/>
        <v>0</v>
      </c>
      <c r="S18" s="410" t="str">
        <f t="shared" si="3"/>
        <v/>
      </c>
      <c r="T18" s="410" t="str">
        <f t="shared" si="3"/>
        <v/>
      </c>
      <c r="U18" s="410" t="str">
        <f t="shared" si="3"/>
        <v/>
      </c>
      <c r="V18" s="410" t="str">
        <f t="shared" si="3"/>
        <v/>
      </c>
      <c r="W18" s="410" t="str">
        <f t="shared" si="3"/>
        <v/>
      </c>
      <c r="X18" s="410">
        <f t="shared" ref="X18:X35" ca="1" si="4">ROUND(IFERROR(HLOOKUP($E$9,$G$13:$W$14,2,FALSE),1)*SUM(G18:W18),2)</f>
        <v>0</v>
      </c>
      <c r="Y18" s="393"/>
      <c r="Z18" s="393"/>
      <c r="AA18" s="393"/>
    </row>
    <row r="19" spans="1:27" ht="30" hidden="1" x14ac:dyDescent="0.25">
      <c r="A19" s="393"/>
      <c r="B19" s="393"/>
      <c r="C19" s="408" t="str">
        <f>'Расчет стоимости'!C356</f>
        <v>Проектно-изыскательские работы КЛ</v>
      </c>
      <c r="D19" s="409">
        <f ca="1">'Расчет стоимости'!I330</f>
        <v>0</v>
      </c>
      <c r="E19" s="409">
        <f>'Расчет стоимости'!E330</f>
        <v>3.53</v>
      </c>
      <c r="F19" s="410">
        <f t="shared" ref="F19:F35" ca="1" si="5">ROUND(D19*E19,2)</f>
        <v>0</v>
      </c>
      <c r="G19" s="410" t="str">
        <f t="shared" si="2"/>
        <v/>
      </c>
      <c r="H19" s="410" t="str">
        <f t="shared" si="2"/>
        <v/>
      </c>
      <c r="I19" s="410" t="str">
        <f t="shared" si="2"/>
        <v/>
      </c>
      <c r="J19" s="410" t="str">
        <f t="shared" si="2"/>
        <v/>
      </c>
      <c r="K19" s="410" t="str">
        <f t="shared" si="2"/>
        <v/>
      </c>
      <c r="L19" s="410" t="str">
        <f t="shared" si="2"/>
        <v/>
      </c>
      <c r="M19" s="410" t="str">
        <f t="shared" si="2"/>
        <v/>
      </c>
      <c r="N19" s="410" t="str">
        <f t="shared" si="2"/>
        <v/>
      </c>
      <c r="O19" s="410" t="str">
        <f t="shared" si="2"/>
        <v/>
      </c>
      <c r="P19" s="410" t="str">
        <f t="shared" si="2"/>
        <v/>
      </c>
      <c r="Q19" s="410" t="str">
        <f t="shared" si="3"/>
        <v/>
      </c>
      <c r="R19" s="410">
        <f t="shared" ca="1" si="3"/>
        <v>0</v>
      </c>
      <c r="S19" s="410" t="str">
        <f t="shared" si="3"/>
        <v/>
      </c>
      <c r="T19" s="410" t="str">
        <f t="shared" si="3"/>
        <v/>
      </c>
      <c r="U19" s="410" t="str">
        <f t="shared" si="3"/>
        <v/>
      </c>
      <c r="V19" s="410" t="str">
        <f t="shared" si="3"/>
        <v/>
      </c>
      <c r="W19" s="410" t="str">
        <f t="shared" si="3"/>
        <v/>
      </c>
      <c r="X19" s="410">
        <f t="shared" ca="1" si="4"/>
        <v>0</v>
      </c>
      <c r="Y19" s="393"/>
      <c r="Z19" s="393"/>
      <c r="AA19" s="393"/>
    </row>
    <row r="20" spans="1:27" ht="30" x14ac:dyDescent="0.25">
      <c r="A20" s="393"/>
      <c r="B20" s="393"/>
      <c r="C20" s="408" t="str">
        <f>'Расчет стоимости'!C357</f>
        <v>Проектно-изыскательские работы ПС</v>
      </c>
      <c r="D20" s="409">
        <f ca="1">'Расчет стоимости'!I331</f>
        <v>324.26</v>
      </c>
      <c r="E20" s="409">
        <f>'Расчет стоимости'!E331</f>
        <v>3.53</v>
      </c>
      <c r="F20" s="410">
        <f t="shared" ca="1" si="5"/>
        <v>1144.6400000000001</v>
      </c>
      <c r="G20" s="410" t="str">
        <f t="shared" si="2"/>
        <v/>
      </c>
      <c r="H20" s="410" t="str">
        <f t="shared" si="2"/>
        <v/>
      </c>
      <c r="I20" s="410" t="str">
        <f t="shared" si="2"/>
        <v/>
      </c>
      <c r="J20" s="410" t="str">
        <f t="shared" si="2"/>
        <v/>
      </c>
      <c r="K20" s="410" t="str">
        <f t="shared" si="2"/>
        <v/>
      </c>
      <c r="L20" s="410" t="str">
        <f t="shared" si="2"/>
        <v/>
      </c>
      <c r="M20" s="410" t="str">
        <f t="shared" si="2"/>
        <v/>
      </c>
      <c r="N20" s="410" t="str">
        <f t="shared" si="2"/>
        <v/>
      </c>
      <c r="O20" s="410" t="str">
        <f t="shared" si="2"/>
        <v/>
      </c>
      <c r="P20" s="410" t="str">
        <f t="shared" si="2"/>
        <v/>
      </c>
      <c r="Q20" s="410" t="str">
        <f t="shared" si="3"/>
        <v/>
      </c>
      <c r="R20" s="410">
        <f t="shared" ca="1" si="3"/>
        <v>2256.67</v>
      </c>
      <c r="S20" s="410" t="str">
        <f t="shared" si="3"/>
        <v/>
      </c>
      <c r="T20" s="410" t="str">
        <f t="shared" si="3"/>
        <v/>
      </c>
      <c r="U20" s="410" t="str">
        <f t="shared" si="3"/>
        <v/>
      </c>
      <c r="V20" s="410" t="str">
        <f t="shared" si="3"/>
        <v/>
      </c>
      <c r="W20" s="410" t="str">
        <f t="shared" si="3"/>
        <v/>
      </c>
      <c r="X20" s="410">
        <f t="shared" ca="1" si="4"/>
        <v>1579.67</v>
      </c>
      <c r="Y20" s="393"/>
      <c r="Z20" s="393"/>
      <c r="AA20" s="393"/>
    </row>
    <row r="21" spans="1:27" hidden="1" x14ac:dyDescent="0.25">
      <c r="A21" s="393"/>
      <c r="B21" s="393"/>
      <c r="C21" s="408" t="str">
        <f>'Расчет стоимости'!C358</f>
        <v>СМР по ВЛ до 20 кВ</v>
      </c>
      <c r="D21" s="409">
        <f ca="1">'Расчет стоимости'!I332</f>
        <v>0</v>
      </c>
      <c r="E21" s="409">
        <f>'Расчет стоимости'!E332</f>
        <v>4.21</v>
      </c>
      <c r="F21" s="410">
        <f t="shared" ca="1" si="5"/>
        <v>0</v>
      </c>
      <c r="G21" s="410" t="str">
        <f t="shared" si="2"/>
        <v/>
      </c>
      <c r="H21" s="410" t="str">
        <f t="shared" si="2"/>
        <v/>
      </c>
      <c r="I21" s="410" t="str">
        <f t="shared" si="2"/>
        <v/>
      </c>
      <c r="J21" s="410" t="str">
        <f t="shared" si="2"/>
        <v/>
      </c>
      <c r="K21" s="410" t="str">
        <f t="shared" si="2"/>
        <v/>
      </c>
      <c r="L21" s="410" t="str">
        <f t="shared" si="2"/>
        <v/>
      </c>
      <c r="M21" s="410" t="str">
        <f t="shared" si="2"/>
        <v/>
      </c>
      <c r="N21" s="410" t="str">
        <f t="shared" si="2"/>
        <v/>
      </c>
      <c r="O21" s="410" t="str">
        <f t="shared" si="2"/>
        <v/>
      </c>
      <c r="P21" s="410" t="str">
        <f t="shared" si="2"/>
        <v/>
      </c>
      <c r="Q21" s="410" t="str">
        <f t="shared" si="3"/>
        <v/>
      </c>
      <c r="R21" s="410">
        <f t="shared" ca="1" si="3"/>
        <v>0</v>
      </c>
      <c r="S21" s="410" t="str">
        <f t="shared" si="3"/>
        <v/>
      </c>
      <c r="T21" s="410" t="str">
        <f t="shared" si="3"/>
        <v/>
      </c>
      <c r="U21" s="410" t="str">
        <f t="shared" si="3"/>
        <v/>
      </c>
      <c r="V21" s="410" t="str">
        <f t="shared" si="3"/>
        <v/>
      </c>
      <c r="W21" s="410" t="str">
        <f t="shared" si="3"/>
        <v/>
      </c>
      <c r="X21" s="410">
        <f t="shared" ca="1" si="4"/>
        <v>0</v>
      </c>
      <c r="Y21" s="393"/>
      <c r="Z21" s="393"/>
      <c r="AA21" s="393"/>
    </row>
    <row r="22" spans="1:27" hidden="1" x14ac:dyDescent="0.25">
      <c r="A22" s="393"/>
      <c r="B22" s="393"/>
      <c r="C22" s="408" t="str">
        <f>'Расчет стоимости'!C359</f>
        <v>СМР по ВЛ 35 кВ и выше</v>
      </c>
      <c r="D22" s="409">
        <f ca="1">'Расчет стоимости'!I333</f>
        <v>0</v>
      </c>
      <c r="E22" s="409">
        <f>'Расчет стоимости'!E333</f>
        <v>4.21</v>
      </c>
      <c r="F22" s="410">
        <f ca="1">ROUND(D22*E22,2)</f>
        <v>0</v>
      </c>
      <c r="G22" s="410" t="str">
        <f t="shared" si="2"/>
        <v/>
      </c>
      <c r="H22" s="410" t="str">
        <f t="shared" si="2"/>
        <v/>
      </c>
      <c r="I22" s="410" t="str">
        <f t="shared" si="2"/>
        <v/>
      </c>
      <c r="J22" s="410" t="str">
        <f t="shared" si="2"/>
        <v/>
      </c>
      <c r="K22" s="410" t="str">
        <f t="shared" si="2"/>
        <v/>
      </c>
      <c r="L22" s="410" t="str">
        <f t="shared" si="2"/>
        <v/>
      </c>
      <c r="M22" s="410" t="str">
        <f t="shared" si="2"/>
        <v/>
      </c>
      <c r="N22" s="410" t="str">
        <f t="shared" si="2"/>
        <v/>
      </c>
      <c r="O22" s="410" t="str">
        <f t="shared" si="2"/>
        <v/>
      </c>
      <c r="P22" s="410" t="str">
        <f t="shared" si="2"/>
        <v/>
      </c>
      <c r="Q22" s="410" t="str">
        <f t="shared" si="3"/>
        <v/>
      </c>
      <c r="R22" s="410">
        <f t="shared" ca="1" si="3"/>
        <v>0</v>
      </c>
      <c r="S22" s="410" t="str">
        <f t="shared" si="3"/>
        <v/>
      </c>
      <c r="T22" s="410" t="str">
        <f t="shared" si="3"/>
        <v/>
      </c>
      <c r="U22" s="410" t="str">
        <f t="shared" si="3"/>
        <v/>
      </c>
      <c r="V22" s="410" t="str">
        <f t="shared" si="3"/>
        <v/>
      </c>
      <c r="W22" s="410" t="str">
        <f t="shared" si="3"/>
        <v/>
      </c>
      <c r="X22" s="410">
        <f t="shared" ca="1" si="4"/>
        <v>0</v>
      </c>
      <c r="Y22" s="393"/>
      <c r="Z22" s="393"/>
      <c r="AA22" s="393"/>
    </row>
    <row r="23" spans="1:27" hidden="1" x14ac:dyDescent="0.25">
      <c r="A23" s="393"/>
      <c r="B23" s="393"/>
      <c r="C23" s="408" t="str">
        <f>'Расчет стоимости'!C362</f>
        <v>СМР по ТП до 10 кВ</v>
      </c>
      <c r="D23" s="409">
        <f ca="1">'Расчет стоимости'!I336</f>
        <v>0</v>
      </c>
      <c r="E23" s="409">
        <f>'Расчет стоимости'!E336</f>
        <v>6.35</v>
      </c>
      <c r="F23" s="410">
        <f t="shared" ca="1" si="5"/>
        <v>0</v>
      </c>
      <c r="G23" s="410" t="str">
        <f t="shared" si="2"/>
        <v/>
      </c>
      <c r="H23" s="410" t="str">
        <f t="shared" si="2"/>
        <v/>
      </c>
      <c r="I23" s="410" t="str">
        <f t="shared" si="2"/>
        <v/>
      </c>
      <c r="J23" s="410" t="str">
        <f t="shared" si="2"/>
        <v/>
      </c>
      <c r="K23" s="410" t="str">
        <f t="shared" si="2"/>
        <v/>
      </c>
      <c r="L23" s="410" t="str">
        <f t="shared" si="2"/>
        <v/>
      </c>
      <c r="M23" s="410" t="str">
        <f t="shared" si="2"/>
        <v/>
      </c>
      <c r="N23" s="410" t="str">
        <f t="shared" si="2"/>
        <v/>
      </c>
      <c r="O23" s="410" t="str">
        <f t="shared" si="2"/>
        <v/>
      </c>
      <c r="P23" s="410" t="str">
        <f t="shared" si="2"/>
        <v/>
      </c>
      <c r="Q23" s="410" t="str">
        <f t="shared" si="3"/>
        <v/>
      </c>
      <c r="R23" s="410">
        <f t="shared" ca="1" si="3"/>
        <v>0</v>
      </c>
      <c r="S23" s="410" t="str">
        <f t="shared" si="3"/>
        <v/>
      </c>
      <c r="T23" s="410" t="str">
        <f t="shared" si="3"/>
        <v/>
      </c>
      <c r="U23" s="410" t="str">
        <f t="shared" si="3"/>
        <v/>
      </c>
      <c r="V23" s="410" t="str">
        <f t="shared" si="3"/>
        <v/>
      </c>
      <c r="W23" s="410" t="str">
        <f t="shared" si="3"/>
        <v/>
      </c>
      <c r="X23" s="410">
        <f t="shared" ca="1" si="4"/>
        <v>0</v>
      </c>
      <c r="Y23" s="393"/>
      <c r="Z23" s="393"/>
      <c r="AA23" s="393"/>
    </row>
    <row r="24" spans="1:27" hidden="1" x14ac:dyDescent="0.25">
      <c r="A24" s="393"/>
      <c r="B24" s="393"/>
      <c r="C24" s="408" t="str">
        <f>'Расчет стоимости'!C360</f>
        <v>СМР по КЛ до 10 кВ</v>
      </c>
      <c r="D24" s="409">
        <f ca="1">'Расчет стоимости'!I334</f>
        <v>0</v>
      </c>
      <c r="E24" s="409">
        <f>'Расчет стоимости'!E334</f>
        <v>4.1500000000000004</v>
      </c>
      <c r="F24" s="410">
        <f t="shared" ca="1" si="5"/>
        <v>0</v>
      </c>
      <c r="G24" s="410" t="str">
        <f t="shared" si="2"/>
        <v/>
      </c>
      <c r="H24" s="410" t="str">
        <f t="shared" si="2"/>
        <v/>
      </c>
      <c r="I24" s="410" t="str">
        <f t="shared" si="2"/>
        <v/>
      </c>
      <c r="J24" s="410" t="str">
        <f t="shared" si="2"/>
        <v/>
      </c>
      <c r="K24" s="410" t="str">
        <f t="shared" si="2"/>
        <v/>
      </c>
      <c r="L24" s="410" t="str">
        <f t="shared" si="2"/>
        <v/>
      </c>
      <c r="M24" s="410" t="str">
        <f t="shared" si="2"/>
        <v/>
      </c>
      <c r="N24" s="410" t="str">
        <f t="shared" si="2"/>
        <v/>
      </c>
      <c r="O24" s="410" t="str">
        <f t="shared" si="2"/>
        <v/>
      </c>
      <c r="P24" s="410" t="str">
        <f t="shared" si="2"/>
        <v/>
      </c>
      <c r="Q24" s="410" t="str">
        <f t="shared" si="3"/>
        <v/>
      </c>
      <c r="R24" s="410">
        <f t="shared" ca="1" si="3"/>
        <v>0</v>
      </c>
      <c r="S24" s="410" t="str">
        <f t="shared" si="3"/>
        <v/>
      </c>
      <c r="T24" s="410" t="str">
        <f t="shared" si="3"/>
        <v/>
      </c>
      <c r="U24" s="410" t="str">
        <f t="shared" si="3"/>
        <v/>
      </c>
      <c r="V24" s="410" t="str">
        <f t="shared" si="3"/>
        <v/>
      </c>
      <c r="W24" s="410" t="str">
        <f t="shared" si="3"/>
        <v/>
      </c>
      <c r="X24" s="410">
        <f t="shared" ca="1" si="4"/>
        <v>0</v>
      </c>
      <c r="Y24" s="393"/>
      <c r="Z24" s="393"/>
      <c r="AA24" s="393"/>
    </row>
    <row r="25" spans="1:27" hidden="1" x14ac:dyDescent="0.25">
      <c r="A25" s="393"/>
      <c r="B25" s="393"/>
      <c r="C25" s="408" t="str">
        <f>'Расчет стоимости'!C361</f>
        <v>СМР по КЛ 20 кВ и выше</v>
      </c>
      <c r="D25" s="409">
        <f ca="1">'Расчет стоимости'!I335</f>
        <v>0</v>
      </c>
      <c r="E25" s="409">
        <f>'Расчет стоимости'!E335</f>
        <v>4.1500000000000004</v>
      </c>
      <c r="F25" s="410">
        <f t="shared" ca="1" si="5"/>
        <v>0</v>
      </c>
      <c r="G25" s="410" t="str">
        <f t="shared" si="2"/>
        <v/>
      </c>
      <c r="H25" s="410" t="str">
        <f t="shared" si="2"/>
        <v/>
      </c>
      <c r="I25" s="410" t="str">
        <f t="shared" si="2"/>
        <v/>
      </c>
      <c r="J25" s="410" t="str">
        <f t="shared" si="2"/>
        <v/>
      </c>
      <c r="K25" s="410" t="str">
        <f t="shared" si="2"/>
        <v/>
      </c>
      <c r="L25" s="410" t="str">
        <f t="shared" si="2"/>
        <v/>
      </c>
      <c r="M25" s="410" t="str">
        <f t="shared" si="2"/>
        <v/>
      </c>
      <c r="N25" s="410" t="str">
        <f t="shared" si="2"/>
        <v/>
      </c>
      <c r="O25" s="410" t="str">
        <f t="shared" si="2"/>
        <v/>
      </c>
      <c r="P25" s="410" t="str">
        <f t="shared" si="2"/>
        <v/>
      </c>
      <c r="Q25" s="410" t="str">
        <f t="shared" si="3"/>
        <v/>
      </c>
      <c r="R25" s="410">
        <f t="shared" ca="1" si="3"/>
        <v>0</v>
      </c>
      <c r="S25" s="410" t="str">
        <f t="shared" si="3"/>
        <v/>
      </c>
      <c r="T25" s="410" t="str">
        <f t="shared" si="3"/>
        <v/>
      </c>
      <c r="U25" s="410" t="str">
        <f t="shared" si="3"/>
        <v/>
      </c>
      <c r="V25" s="410" t="str">
        <f t="shared" si="3"/>
        <v/>
      </c>
      <c r="W25" s="410" t="str">
        <f t="shared" si="3"/>
        <v/>
      </c>
      <c r="X25" s="410">
        <f t="shared" ca="1" si="4"/>
        <v>0</v>
      </c>
      <c r="Y25" s="393"/>
      <c r="Z25" s="393"/>
      <c r="AA25" s="393"/>
    </row>
    <row r="26" spans="1:27" x14ac:dyDescent="0.25">
      <c r="A26" s="393"/>
      <c r="B26" s="393"/>
      <c r="C26" s="408" t="str">
        <f>'Расчет стоимости'!C363</f>
        <v>СМР по ПС</v>
      </c>
      <c r="D26" s="409">
        <f ca="1">'Расчет стоимости'!I337</f>
        <v>770.11</v>
      </c>
      <c r="E26" s="409">
        <f>'Расчет стоимости'!E337</f>
        <v>6.35</v>
      </c>
      <c r="F26" s="410">
        <f t="shared" ca="1" si="5"/>
        <v>4890.2</v>
      </c>
      <c r="G26" s="410" t="str">
        <f t="shared" si="2"/>
        <v/>
      </c>
      <c r="H26" s="410" t="str">
        <f t="shared" si="2"/>
        <v/>
      </c>
      <c r="I26" s="410" t="str">
        <f t="shared" si="2"/>
        <v/>
      </c>
      <c r="J26" s="410" t="str">
        <f t="shared" si="2"/>
        <v/>
      </c>
      <c r="K26" s="410" t="str">
        <f t="shared" si="2"/>
        <v/>
      </c>
      <c r="L26" s="410" t="str">
        <f t="shared" si="2"/>
        <v/>
      </c>
      <c r="M26" s="410" t="str">
        <f t="shared" si="2"/>
        <v/>
      </c>
      <c r="N26" s="410" t="str">
        <f t="shared" si="2"/>
        <v/>
      </c>
      <c r="O26" s="410" t="str">
        <f t="shared" si="2"/>
        <v/>
      </c>
      <c r="P26" s="410" t="str">
        <f t="shared" si="2"/>
        <v/>
      </c>
      <c r="Q26" s="410" t="str">
        <f t="shared" si="3"/>
        <v/>
      </c>
      <c r="R26" s="410">
        <f t="shared" ca="1" si="3"/>
        <v>9641.1</v>
      </c>
      <c r="S26" s="410" t="str">
        <f t="shared" si="3"/>
        <v/>
      </c>
      <c r="T26" s="410" t="str">
        <f t="shared" si="3"/>
        <v/>
      </c>
      <c r="U26" s="410" t="str">
        <f t="shared" si="3"/>
        <v/>
      </c>
      <c r="V26" s="410" t="str">
        <f t="shared" si="3"/>
        <v/>
      </c>
      <c r="W26" s="410" t="str">
        <f t="shared" si="3"/>
        <v/>
      </c>
      <c r="X26" s="410">
        <f t="shared" ca="1" si="4"/>
        <v>6748.77</v>
      </c>
      <c r="Y26" s="393"/>
      <c r="Z26" s="393"/>
      <c r="AA26" s="393"/>
    </row>
    <row r="27" spans="1:27" hidden="1" x14ac:dyDescent="0.25">
      <c r="A27" s="393"/>
      <c r="B27" s="393"/>
      <c r="C27" s="408" t="str">
        <f>'Расчет стоимости'!C364</f>
        <v>Оборудование ВЛ</v>
      </c>
      <c r="D27" s="409">
        <f ca="1">'Расчет стоимости'!I338</f>
        <v>0</v>
      </c>
      <c r="E27" s="409">
        <f>'Расчет стоимости'!E338</f>
        <v>3.82</v>
      </c>
      <c r="F27" s="410">
        <f t="shared" ca="1" si="5"/>
        <v>0</v>
      </c>
      <c r="G27" s="410" t="str">
        <f t="shared" si="2"/>
        <v/>
      </c>
      <c r="H27" s="410" t="str">
        <f t="shared" si="2"/>
        <v/>
      </c>
      <c r="I27" s="410" t="str">
        <f t="shared" si="2"/>
        <v/>
      </c>
      <c r="J27" s="410" t="str">
        <f t="shared" si="2"/>
        <v/>
      </c>
      <c r="K27" s="410" t="str">
        <f t="shared" si="2"/>
        <v/>
      </c>
      <c r="L27" s="410" t="str">
        <f t="shared" si="2"/>
        <v/>
      </c>
      <c r="M27" s="410" t="str">
        <f t="shared" si="2"/>
        <v/>
      </c>
      <c r="N27" s="410" t="str">
        <f t="shared" si="2"/>
        <v/>
      </c>
      <c r="O27" s="410" t="str">
        <f t="shared" si="2"/>
        <v/>
      </c>
      <c r="P27" s="410" t="str">
        <f t="shared" si="2"/>
        <v/>
      </c>
      <c r="Q27" s="410" t="str">
        <f t="shared" si="3"/>
        <v/>
      </c>
      <c r="R27" s="410">
        <f t="shared" ca="1" si="3"/>
        <v>0</v>
      </c>
      <c r="S27" s="410" t="str">
        <f t="shared" si="3"/>
        <v/>
      </c>
      <c r="T27" s="410" t="str">
        <f t="shared" si="3"/>
        <v/>
      </c>
      <c r="U27" s="410" t="str">
        <f t="shared" si="3"/>
        <v/>
      </c>
      <c r="V27" s="410" t="str">
        <f t="shared" si="3"/>
        <v/>
      </c>
      <c r="W27" s="410" t="str">
        <f t="shared" si="3"/>
        <v/>
      </c>
      <c r="X27" s="410">
        <f t="shared" ca="1" si="4"/>
        <v>0</v>
      </c>
      <c r="Y27" s="393"/>
      <c r="Z27" s="393"/>
      <c r="AA27" s="393"/>
    </row>
    <row r="28" spans="1:27" hidden="1" x14ac:dyDescent="0.25">
      <c r="A28" s="393"/>
      <c r="B28" s="393"/>
      <c r="C28" s="408" t="str">
        <f>'Расчет стоимости'!C365</f>
        <v>Оборудование КЛ</v>
      </c>
      <c r="D28" s="409">
        <f ca="1">'Расчет стоимости'!I339</f>
        <v>0</v>
      </c>
      <c r="E28" s="409">
        <f>'Расчет стоимости'!E339</f>
        <v>3.82</v>
      </c>
      <c r="F28" s="410">
        <f t="shared" ca="1" si="5"/>
        <v>0</v>
      </c>
      <c r="G28" s="410" t="str">
        <f t="shared" ref="G28:P35" si="6">IF($E$9=G$13,ROUND($F28*G$16,2),"")</f>
        <v/>
      </c>
      <c r="H28" s="410" t="str">
        <f t="shared" si="6"/>
        <v/>
      </c>
      <c r="I28" s="410" t="str">
        <f t="shared" si="6"/>
        <v/>
      </c>
      <c r="J28" s="410" t="str">
        <f t="shared" si="6"/>
        <v/>
      </c>
      <c r="K28" s="410" t="str">
        <f t="shared" si="6"/>
        <v/>
      </c>
      <c r="L28" s="410" t="str">
        <f t="shared" si="6"/>
        <v/>
      </c>
      <c r="M28" s="410" t="str">
        <f t="shared" si="6"/>
        <v/>
      </c>
      <c r="N28" s="410" t="str">
        <f t="shared" si="6"/>
        <v/>
      </c>
      <c r="O28" s="410" t="str">
        <f t="shared" si="6"/>
        <v/>
      </c>
      <c r="P28" s="410" t="str">
        <f t="shared" si="6"/>
        <v/>
      </c>
      <c r="Q28" s="410" t="str">
        <f t="shared" ref="Q28:W35" si="7">IF($E$9=Q$13,ROUND($F28*Q$16,2),"")</f>
        <v/>
      </c>
      <c r="R28" s="410">
        <f t="shared" ca="1" si="7"/>
        <v>0</v>
      </c>
      <c r="S28" s="410" t="str">
        <f t="shared" si="7"/>
        <v/>
      </c>
      <c r="T28" s="410" t="str">
        <f t="shared" si="7"/>
        <v/>
      </c>
      <c r="U28" s="410" t="str">
        <f t="shared" si="7"/>
        <v/>
      </c>
      <c r="V28" s="410" t="str">
        <f t="shared" si="7"/>
        <v/>
      </c>
      <c r="W28" s="410" t="str">
        <f t="shared" si="7"/>
        <v/>
      </c>
      <c r="X28" s="410">
        <f t="shared" ca="1" si="4"/>
        <v>0</v>
      </c>
      <c r="Y28" s="393"/>
      <c r="Z28" s="393"/>
      <c r="AA28" s="393"/>
    </row>
    <row r="29" spans="1:27" x14ac:dyDescent="0.25">
      <c r="A29" s="393"/>
      <c r="B29" s="393"/>
      <c r="C29" s="408" t="str">
        <f>'Расчет стоимости'!C366</f>
        <v>Оборудование ПС</v>
      </c>
      <c r="D29" s="409">
        <f ca="1">'Расчет стоимости'!I340</f>
        <v>2431.94</v>
      </c>
      <c r="E29" s="409">
        <f>'Расчет стоимости'!E340</f>
        <v>3.82</v>
      </c>
      <c r="F29" s="410">
        <f t="shared" ca="1" si="5"/>
        <v>9290.01</v>
      </c>
      <c r="G29" s="410" t="str">
        <f t="shared" si="6"/>
        <v/>
      </c>
      <c r="H29" s="410" t="str">
        <f t="shared" si="6"/>
        <v/>
      </c>
      <c r="I29" s="410" t="str">
        <f t="shared" si="6"/>
        <v/>
      </c>
      <c r="J29" s="410" t="str">
        <f t="shared" si="6"/>
        <v/>
      </c>
      <c r="K29" s="410" t="str">
        <f t="shared" si="6"/>
        <v/>
      </c>
      <c r="L29" s="410" t="str">
        <f t="shared" si="6"/>
        <v/>
      </c>
      <c r="M29" s="410" t="str">
        <f t="shared" si="6"/>
        <v/>
      </c>
      <c r="N29" s="410" t="str">
        <f t="shared" si="6"/>
        <v/>
      </c>
      <c r="O29" s="410" t="str">
        <f t="shared" si="6"/>
        <v/>
      </c>
      <c r="P29" s="410" t="str">
        <f t="shared" si="6"/>
        <v/>
      </c>
      <c r="Q29" s="410" t="str">
        <f t="shared" si="7"/>
        <v/>
      </c>
      <c r="R29" s="410">
        <f t="shared" ca="1" si="7"/>
        <v>18315.38</v>
      </c>
      <c r="S29" s="410" t="str">
        <f t="shared" si="7"/>
        <v/>
      </c>
      <c r="T29" s="410" t="str">
        <f t="shared" si="7"/>
        <v/>
      </c>
      <c r="U29" s="410" t="str">
        <f t="shared" si="7"/>
        <v/>
      </c>
      <c r="V29" s="410" t="str">
        <f t="shared" si="7"/>
        <v/>
      </c>
      <c r="W29" s="410" t="str">
        <f t="shared" si="7"/>
        <v/>
      </c>
      <c r="X29" s="410">
        <f t="shared" ca="1" si="4"/>
        <v>12820.77</v>
      </c>
      <c r="Y29" s="393"/>
      <c r="Z29" s="393"/>
      <c r="AA29" s="393"/>
    </row>
    <row r="30" spans="1:27" hidden="1" x14ac:dyDescent="0.25">
      <c r="A30" s="393"/>
      <c r="B30" s="393"/>
      <c r="C30" s="408" t="str">
        <f>'Расчет стоимости'!C367</f>
        <v>Пусконаладочные работы ВЛ</v>
      </c>
      <c r="D30" s="409">
        <f ca="1">'Расчет стоимости'!I341</f>
        <v>0</v>
      </c>
      <c r="E30" s="409">
        <f>'Расчет стоимости'!E341</f>
        <v>12.66</v>
      </c>
      <c r="F30" s="410">
        <f t="shared" ca="1" si="5"/>
        <v>0</v>
      </c>
      <c r="G30" s="410" t="str">
        <f t="shared" si="6"/>
        <v/>
      </c>
      <c r="H30" s="410" t="str">
        <f t="shared" si="6"/>
        <v/>
      </c>
      <c r="I30" s="410" t="str">
        <f t="shared" si="6"/>
        <v/>
      </c>
      <c r="J30" s="410" t="str">
        <f t="shared" si="6"/>
        <v/>
      </c>
      <c r="K30" s="410" t="str">
        <f t="shared" si="6"/>
        <v/>
      </c>
      <c r="L30" s="410" t="str">
        <f t="shared" si="6"/>
        <v/>
      </c>
      <c r="M30" s="410" t="str">
        <f t="shared" si="6"/>
        <v/>
      </c>
      <c r="N30" s="410" t="str">
        <f t="shared" si="6"/>
        <v/>
      </c>
      <c r="O30" s="410" t="str">
        <f t="shared" si="6"/>
        <v/>
      </c>
      <c r="P30" s="410" t="str">
        <f t="shared" si="6"/>
        <v/>
      </c>
      <c r="Q30" s="410" t="str">
        <f t="shared" si="7"/>
        <v/>
      </c>
      <c r="R30" s="410">
        <f t="shared" ca="1" si="7"/>
        <v>0</v>
      </c>
      <c r="S30" s="410" t="str">
        <f t="shared" si="7"/>
        <v/>
      </c>
      <c r="T30" s="410" t="str">
        <f t="shared" si="7"/>
        <v/>
      </c>
      <c r="U30" s="410" t="str">
        <f t="shared" si="7"/>
        <v/>
      </c>
      <c r="V30" s="410" t="str">
        <f t="shared" si="7"/>
        <v/>
      </c>
      <c r="W30" s="410" t="str">
        <f t="shared" si="7"/>
        <v/>
      </c>
      <c r="X30" s="410">
        <f t="shared" ca="1" si="4"/>
        <v>0</v>
      </c>
      <c r="Y30" s="393"/>
      <c r="Z30" s="393"/>
      <c r="AA30" s="393"/>
    </row>
    <row r="31" spans="1:27" hidden="1" x14ac:dyDescent="0.25">
      <c r="A31" s="393"/>
      <c r="B31" s="393"/>
      <c r="C31" s="408" t="str">
        <f>'Расчет стоимости'!C368</f>
        <v>Пусконаладочные работы КЛ</v>
      </c>
      <c r="D31" s="409">
        <f ca="1">'Расчет стоимости'!I342</f>
        <v>0</v>
      </c>
      <c r="E31" s="409">
        <f>'Расчет стоимости'!E342</f>
        <v>12.66</v>
      </c>
      <c r="F31" s="410">
        <f t="shared" ca="1" si="5"/>
        <v>0</v>
      </c>
      <c r="G31" s="410" t="str">
        <f t="shared" si="6"/>
        <v/>
      </c>
      <c r="H31" s="410" t="str">
        <f t="shared" si="6"/>
        <v/>
      </c>
      <c r="I31" s="410" t="str">
        <f t="shared" si="6"/>
        <v/>
      </c>
      <c r="J31" s="410" t="str">
        <f t="shared" si="6"/>
        <v/>
      </c>
      <c r="K31" s="410" t="str">
        <f t="shared" si="6"/>
        <v/>
      </c>
      <c r="L31" s="410" t="str">
        <f t="shared" si="6"/>
        <v/>
      </c>
      <c r="M31" s="410" t="str">
        <f t="shared" si="6"/>
        <v/>
      </c>
      <c r="N31" s="410" t="str">
        <f t="shared" si="6"/>
        <v/>
      </c>
      <c r="O31" s="410" t="str">
        <f t="shared" si="6"/>
        <v/>
      </c>
      <c r="P31" s="410" t="str">
        <f t="shared" si="6"/>
        <v/>
      </c>
      <c r="Q31" s="410" t="str">
        <f t="shared" si="7"/>
        <v/>
      </c>
      <c r="R31" s="410">
        <f t="shared" ca="1" si="7"/>
        <v>0</v>
      </c>
      <c r="S31" s="410" t="str">
        <f t="shared" si="7"/>
        <v/>
      </c>
      <c r="T31" s="410" t="str">
        <f t="shared" si="7"/>
        <v/>
      </c>
      <c r="U31" s="410" t="str">
        <f t="shared" si="7"/>
        <v/>
      </c>
      <c r="V31" s="410" t="str">
        <f t="shared" si="7"/>
        <v/>
      </c>
      <c r="W31" s="410" t="str">
        <f t="shared" si="7"/>
        <v/>
      </c>
      <c r="X31" s="410">
        <f t="shared" ca="1" si="4"/>
        <v>0</v>
      </c>
      <c r="Y31" s="393"/>
      <c r="Z31" s="393"/>
      <c r="AA31" s="393"/>
    </row>
    <row r="32" spans="1:27" x14ac:dyDescent="0.25">
      <c r="A32" s="393"/>
      <c r="B32" s="393"/>
      <c r="C32" s="408" t="str">
        <f>'Расчет стоимости'!C369</f>
        <v>Пусконаладочные работы ПС</v>
      </c>
      <c r="D32" s="409">
        <f ca="1">'Расчет стоимости'!I343</f>
        <v>162.12</v>
      </c>
      <c r="E32" s="409">
        <f>'Расчет стоимости'!E343</f>
        <v>12.66</v>
      </c>
      <c r="F32" s="410">
        <f t="shared" ca="1" si="5"/>
        <v>2052.44</v>
      </c>
      <c r="G32" s="410" t="str">
        <f t="shared" si="6"/>
        <v/>
      </c>
      <c r="H32" s="410" t="str">
        <f t="shared" si="6"/>
        <v/>
      </c>
      <c r="I32" s="410" t="str">
        <f t="shared" si="6"/>
        <v/>
      </c>
      <c r="J32" s="410" t="str">
        <f t="shared" si="6"/>
        <v/>
      </c>
      <c r="K32" s="410" t="str">
        <f t="shared" si="6"/>
        <v/>
      </c>
      <c r="L32" s="410" t="str">
        <f t="shared" si="6"/>
        <v/>
      </c>
      <c r="M32" s="410" t="str">
        <f t="shared" si="6"/>
        <v/>
      </c>
      <c r="N32" s="410" t="str">
        <f t="shared" si="6"/>
        <v/>
      </c>
      <c r="O32" s="410" t="str">
        <f t="shared" si="6"/>
        <v/>
      </c>
      <c r="P32" s="410" t="str">
        <f t="shared" si="6"/>
        <v/>
      </c>
      <c r="Q32" s="410" t="str">
        <f t="shared" si="7"/>
        <v/>
      </c>
      <c r="R32" s="410">
        <f t="shared" ca="1" si="7"/>
        <v>4046.41</v>
      </c>
      <c r="S32" s="410" t="str">
        <f t="shared" si="7"/>
        <v/>
      </c>
      <c r="T32" s="410" t="str">
        <f t="shared" si="7"/>
        <v/>
      </c>
      <c r="U32" s="410" t="str">
        <f t="shared" si="7"/>
        <v/>
      </c>
      <c r="V32" s="410" t="str">
        <f t="shared" si="7"/>
        <v/>
      </c>
      <c r="W32" s="410" t="str">
        <f t="shared" si="7"/>
        <v/>
      </c>
      <c r="X32" s="410">
        <f t="shared" ca="1" si="4"/>
        <v>2832.49</v>
      </c>
      <c r="Y32" s="393"/>
      <c r="Z32" s="393"/>
      <c r="AA32" s="393"/>
    </row>
    <row r="33" spans="1:27" hidden="1" x14ac:dyDescent="0.25">
      <c r="A33" s="393"/>
      <c r="B33" s="393"/>
      <c r="C33" s="408" t="str">
        <f>'Расчет стоимости'!C370</f>
        <v>Прочие затраты ВЛ</v>
      </c>
      <c r="D33" s="409">
        <f ca="1">'Расчет стоимости'!I344</f>
        <v>0</v>
      </c>
      <c r="E33" s="409">
        <f>'Расчет стоимости'!E344</f>
        <v>7.53</v>
      </c>
      <c r="F33" s="410">
        <f t="shared" ca="1" si="5"/>
        <v>0</v>
      </c>
      <c r="G33" s="410" t="str">
        <f t="shared" si="6"/>
        <v/>
      </c>
      <c r="H33" s="410" t="str">
        <f t="shared" si="6"/>
        <v/>
      </c>
      <c r="I33" s="410" t="str">
        <f t="shared" si="6"/>
        <v/>
      </c>
      <c r="J33" s="410" t="str">
        <f t="shared" si="6"/>
        <v/>
      </c>
      <c r="K33" s="410" t="str">
        <f t="shared" si="6"/>
        <v/>
      </c>
      <c r="L33" s="410" t="str">
        <f t="shared" si="6"/>
        <v/>
      </c>
      <c r="M33" s="410" t="str">
        <f t="shared" si="6"/>
        <v/>
      </c>
      <c r="N33" s="410" t="str">
        <f t="shared" si="6"/>
        <v/>
      </c>
      <c r="O33" s="410" t="str">
        <f t="shared" si="6"/>
        <v/>
      </c>
      <c r="P33" s="410" t="str">
        <f t="shared" si="6"/>
        <v/>
      </c>
      <c r="Q33" s="410" t="str">
        <f t="shared" si="7"/>
        <v/>
      </c>
      <c r="R33" s="410">
        <f t="shared" ca="1" si="7"/>
        <v>0</v>
      </c>
      <c r="S33" s="410" t="str">
        <f t="shared" si="7"/>
        <v/>
      </c>
      <c r="T33" s="410" t="str">
        <f t="shared" si="7"/>
        <v/>
      </c>
      <c r="U33" s="410" t="str">
        <f t="shared" si="7"/>
        <v/>
      </c>
      <c r="V33" s="410" t="str">
        <f t="shared" si="7"/>
        <v/>
      </c>
      <c r="W33" s="410" t="str">
        <f t="shared" si="7"/>
        <v/>
      </c>
      <c r="X33" s="410">
        <f t="shared" ca="1" si="4"/>
        <v>0</v>
      </c>
      <c r="Y33" s="393"/>
      <c r="Z33" s="393"/>
      <c r="AA33" s="393"/>
    </row>
    <row r="34" spans="1:27" hidden="1" x14ac:dyDescent="0.25">
      <c r="A34" s="393"/>
      <c r="B34" s="393"/>
      <c r="C34" s="408" t="str">
        <f>'Расчет стоимости'!C371</f>
        <v>Прочие затраты КЛ</v>
      </c>
      <c r="D34" s="409">
        <f ca="1">'Расчет стоимости'!I345</f>
        <v>0</v>
      </c>
      <c r="E34" s="409">
        <f>'Расчет стоимости'!E345</f>
        <v>7.53</v>
      </c>
      <c r="F34" s="410">
        <f t="shared" ca="1" si="5"/>
        <v>0</v>
      </c>
      <c r="G34" s="410" t="str">
        <f t="shared" si="6"/>
        <v/>
      </c>
      <c r="H34" s="410" t="str">
        <f t="shared" si="6"/>
        <v/>
      </c>
      <c r="I34" s="410" t="str">
        <f t="shared" si="6"/>
        <v/>
      </c>
      <c r="J34" s="410" t="str">
        <f t="shared" si="6"/>
        <v/>
      </c>
      <c r="K34" s="410" t="str">
        <f t="shared" si="6"/>
        <v/>
      </c>
      <c r="L34" s="410" t="str">
        <f t="shared" si="6"/>
        <v/>
      </c>
      <c r="M34" s="410" t="str">
        <f t="shared" si="6"/>
        <v/>
      </c>
      <c r="N34" s="410" t="str">
        <f t="shared" si="6"/>
        <v/>
      </c>
      <c r="O34" s="410" t="str">
        <f t="shared" si="6"/>
        <v/>
      </c>
      <c r="P34" s="410" t="str">
        <f t="shared" si="6"/>
        <v/>
      </c>
      <c r="Q34" s="410" t="str">
        <f t="shared" si="7"/>
        <v/>
      </c>
      <c r="R34" s="410">
        <f t="shared" ca="1" si="7"/>
        <v>0</v>
      </c>
      <c r="S34" s="410" t="str">
        <f t="shared" si="7"/>
        <v/>
      </c>
      <c r="T34" s="410" t="str">
        <f t="shared" si="7"/>
        <v/>
      </c>
      <c r="U34" s="410" t="str">
        <f t="shared" si="7"/>
        <v/>
      </c>
      <c r="V34" s="410" t="str">
        <f t="shared" si="7"/>
        <v/>
      </c>
      <c r="W34" s="410" t="str">
        <f t="shared" si="7"/>
        <v/>
      </c>
      <c r="X34" s="410">
        <f t="shared" ca="1" si="4"/>
        <v>0</v>
      </c>
      <c r="Y34" s="393"/>
      <c r="Z34" s="393"/>
      <c r="AA34" s="393"/>
    </row>
    <row r="35" spans="1:27" x14ac:dyDescent="0.25">
      <c r="A35" s="393"/>
      <c r="B35" s="393"/>
      <c r="C35" s="408" t="str">
        <f>'Расчет стоимости'!C372</f>
        <v>Прочие затраты ПС</v>
      </c>
      <c r="D35" s="409">
        <f ca="1">'Расчет стоимости'!I346</f>
        <v>364.8</v>
      </c>
      <c r="E35" s="409">
        <f>'Расчет стоимости'!E346</f>
        <v>7.53</v>
      </c>
      <c r="F35" s="410">
        <f t="shared" ca="1" si="5"/>
        <v>2746.94</v>
      </c>
      <c r="G35" s="410" t="str">
        <f t="shared" si="6"/>
        <v/>
      </c>
      <c r="H35" s="410" t="str">
        <f t="shared" si="6"/>
        <v/>
      </c>
      <c r="I35" s="410" t="str">
        <f t="shared" si="6"/>
        <v/>
      </c>
      <c r="J35" s="410" t="str">
        <f t="shared" si="6"/>
        <v/>
      </c>
      <c r="K35" s="410" t="str">
        <f t="shared" si="6"/>
        <v/>
      </c>
      <c r="L35" s="410" t="str">
        <f t="shared" si="6"/>
        <v/>
      </c>
      <c r="M35" s="410" t="str">
        <f t="shared" si="6"/>
        <v/>
      </c>
      <c r="N35" s="410" t="str">
        <f t="shared" si="6"/>
        <v/>
      </c>
      <c r="O35" s="410" t="str">
        <f t="shared" si="6"/>
        <v/>
      </c>
      <c r="P35" s="410" t="str">
        <f t="shared" si="6"/>
        <v/>
      </c>
      <c r="Q35" s="410" t="str">
        <f t="shared" si="7"/>
        <v/>
      </c>
      <c r="R35" s="410">
        <f t="shared" ca="1" si="7"/>
        <v>5415.63</v>
      </c>
      <c r="S35" s="410" t="str">
        <f t="shared" si="7"/>
        <v/>
      </c>
      <c r="T35" s="410" t="str">
        <f t="shared" si="7"/>
        <v/>
      </c>
      <c r="U35" s="410" t="str">
        <f t="shared" si="7"/>
        <v/>
      </c>
      <c r="V35" s="410" t="str">
        <f t="shared" si="7"/>
        <v/>
      </c>
      <c r="W35" s="410" t="str">
        <f t="shared" si="7"/>
        <v/>
      </c>
      <c r="X35" s="410">
        <f t="shared" ca="1" si="4"/>
        <v>3790.94</v>
      </c>
      <c r="Y35" s="393"/>
      <c r="Z35" s="393"/>
      <c r="AA35" s="393"/>
    </row>
    <row r="36" spans="1:27" x14ac:dyDescent="0.25">
      <c r="A36" s="393"/>
      <c r="B36" s="393"/>
      <c r="C36" s="393"/>
      <c r="D36" s="393"/>
      <c r="E36" s="393"/>
      <c r="F36" s="393"/>
      <c r="G36" s="393"/>
      <c r="H36" s="393"/>
      <c r="I36" s="393"/>
      <c r="J36" s="393"/>
      <c r="K36" s="393"/>
      <c r="L36" s="393"/>
      <c r="M36" s="393"/>
      <c r="N36" s="393"/>
      <c r="O36" s="393"/>
      <c r="P36" s="393"/>
      <c r="Q36" s="393"/>
      <c r="R36" s="393"/>
      <c r="S36" s="393"/>
      <c r="T36" s="393"/>
      <c r="U36" s="393"/>
      <c r="V36" s="393"/>
      <c r="W36" s="393"/>
      <c r="X36" s="393"/>
      <c r="Y36" s="393"/>
      <c r="Z36" s="393"/>
      <c r="AA36" s="393"/>
    </row>
    <row r="37" spans="1:27" x14ac:dyDescent="0.25">
      <c r="A37" s="393"/>
      <c r="B37" s="243"/>
      <c r="C37" s="411"/>
      <c r="D37" s="243"/>
      <c r="E37" s="243"/>
      <c r="F37" s="412"/>
      <c r="G37" s="393"/>
      <c r="H37" s="393"/>
      <c r="I37" s="393"/>
      <c r="J37" s="393"/>
      <c r="K37" s="393"/>
      <c r="L37" s="393"/>
      <c r="M37" s="393"/>
      <c r="N37" s="393"/>
      <c r="O37" s="393"/>
      <c r="P37" s="393"/>
      <c r="Q37" s="393"/>
      <c r="R37" s="393"/>
      <c r="S37" s="393"/>
      <c r="T37" s="393"/>
      <c r="U37" s="393"/>
      <c r="V37" s="393"/>
      <c r="W37" s="393"/>
      <c r="X37" s="393"/>
      <c r="Y37" s="393"/>
      <c r="Z37" s="393"/>
      <c r="AA37" s="393"/>
    </row>
    <row r="38" spans="1:27" x14ac:dyDescent="0.25">
      <c r="A38" s="393"/>
      <c r="B38" s="243"/>
      <c r="C38" s="243"/>
      <c r="D38" s="243"/>
      <c r="E38" s="243"/>
      <c r="F38" s="246"/>
      <c r="G38" s="393"/>
      <c r="H38" s="393"/>
      <c r="I38" s="393"/>
      <c r="J38" s="393"/>
      <c r="K38" s="393"/>
      <c r="L38" s="393"/>
      <c r="M38" s="393"/>
      <c r="N38" s="393"/>
      <c r="O38" s="393"/>
      <c r="P38" s="393"/>
      <c r="Q38" s="393"/>
      <c r="R38" s="393"/>
      <c r="S38" s="393"/>
      <c r="T38" s="393"/>
      <c r="U38" s="393"/>
      <c r="V38" s="393"/>
      <c r="W38" s="393"/>
      <c r="X38" s="393"/>
      <c r="Y38" s="393"/>
      <c r="Z38" s="393"/>
      <c r="AA38" s="393"/>
    </row>
    <row r="39" spans="1:27" x14ac:dyDescent="0.25">
      <c r="A39" s="393"/>
      <c r="B39" s="243"/>
      <c r="C39" s="411"/>
      <c r="D39" s="243"/>
      <c r="E39" s="243"/>
      <c r="F39" s="412"/>
      <c r="G39" s="393"/>
      <c r="H39" s="393"/>
      <c r="I39" s="393"/>
      <c r="J39" s="393"/>
      <c r="K39" s="393"/>
      <c r="L39" s="393"/>
      <c r="M39" s="393"/>
      <c r="N39" s="393"/>
      <c r="O39" s="393"/>
      <c r="P39" s="393"/>
      <c r="Q39" s="393"/>
      <c r="R39" s="393"/>
      <c r="S39" s="393"/>
      <c r="T39" s="393"/>
      <c r="U39" s="393"/>
      <c r="V39" s="393"/>
      <c r="W39" s="393"/>
      <c r="X39" s="393"/>
      <c r="Y39" s="393"/>
      <c r="Z39" s="393"/>
      <c r="AA39" s="393"/>
    </row>
    <row r="40" spans="1:27" x14ac:dyDescent="0.25">
      <c r="A40" s="393"/>
      <c r="B40" s="393"/>
      <c r="C40" s="393"/>
      <c r="D40" s="393"/>
      <c r="E40" s="393"/>
      <c r="F40" s="393"/>
      <c r="G40" s="393"/>
      <c r="H40" s="393"/>
      <c r="I40" s="393"/>
      <c r="J40" s="393"/>
      <c r="K40" s="393"/>
      <c r="L40" s="393"/>
      <c r="M40" s="393"/>
      <c r="N40" s="393"/>
      <c r="O40" s="393"/>
      <c r="P40" s="393"/>
      <c r="Q40" s="393"/>
      <c r="R40" s="393"/>
      <c r="S40" s="393"/>
      <c r="T40" s="393"/>
      <c r="U40" s="393"/>
      <c r="V40" s="393"/>
      <c r="W40" s="393"/>
      <c r="X40" s="393"/>
      <c r="Y40" s="393"/>
      <c r="Z40" s="393"/>
      <c r="AA40" s="393"/>
    </row>
    <row r="41" spans="1:27" x14ac:dyDescent="0.25">
      <c r="A41" s="393"/>
      <c r="B41" s="393"/>
      <c r="C41" s="393"/>
      <c r="D41" s="393"/>
      <c r="E41" s="393"/>
      <c r="F41" s="393"/>
      <c r="G41" s="393"/>
      <c r="H41" s="393"/>
      <c r="I41" s="393"/>
      <c r="J41" s="393"/>
      <c r="K41" s="393"/>
      <c r="L41" s="393"/>
      <c r="M41" s="393"/>
      <c r="N41" s="393"/>
      <c r="O41" s="393"/>
      <c r="P41" s="393"/>
      <c r="Q41" s="393"/>
      <c r="R41" s="393"/>
      <c r="S41" s="393"/>
      <c r="T41" s="393"/>
      <c r="U41" s="393"/>
      <c r="V41" s="393"/>
      <c r="W41" s="393"/>
      <c r="X41" s="393"/>
      <c r="Y41" s="393"/>
      <c r="Z41" s="393"/>
      <c r="AA41" s="393"/>
    </row>
    <row r="42" spans="1:27" x14ac:dyDescent="0.25">
      <c r="A42" s="393"/>
      <c r="B42" s="393"/>
      <c r="C42" s="393"/>
      <c r="D42" s="393"/>
      <c r="E42" s="393"/>
      <c r="F42" s="393"/>
      <c r="G42" s="393"/>
      <c r="H42" s="393"/>
      <c r="I42" s="393"/>
      <c r="J42" s="393"/>
      <c r="K42" s="393"/>
      <c r="L42" s="393"/>
      <c r="M42" s="393"/>
      <c r="N42" s="393"/>
      <c r="O42" s="393"/>
      <c r="P42" s="393"/>
      <c r="Q42" s="393"/>
      <c r="R42" s="393"/>
      <c r="S42" s="393"/>
      <c r="T42" s="393"/>
      <c r="U42" s="393"/>
      <c r="V42" s="393"/>
      <c r="W42" s="393"/>
      <c r="X42" s="393"/>
      <c r="Y42" s="393"/>
      <c r="Z42" s="393"/>
      <c r="AA42" s="393"/>
    </row>
    <row r="43" spans="1:27" x14ac:dyDescent="0.25">
      <c r="A43" s="393"/>
      <c r="B43" s="393"/>
      <c r="C43" s="393"/>
      <c r="D43" s="393"/>
      <c r="E43" s="393"/>
      <c r="F43" s="393"/>
      <c r="G43" s="393"/>
      <c r="H43" s="393"/>
      <c r="I43" s="393"/>
      <c r="J43" s="393"/>
      <c r="K43" s="393"/>
      <c r="L43" s="393"/>
      <c r="M43" s="393"/>
      <c r="N43" s="393"/>
      <c r="O43" s="393"/>
      <c r="P43" s="393"/>
      <c r="Q43" s="393"/>
      <c r="R43" s="393"/>
      <c r="S43" s="393"/>
      <c r="T43" s="393"/>
      <c r="U43" s="393"/>
      <c r="V43" s="393"/>
      <c r="W43" s="393"/>
      <c r="X43" s="393"/>
      <c r="Y43" s="393"/>
      <c r="Z43" s="393"/>
      <c r="AA43" s="393"/>
    </row>
  </sheetData>
  <sheetProtection formatCells="0" formatColumns="0" formatRows="0"/>
  <mergeCells count="8">
    <mergeCell ref="C6:M6"/>
    <mergeCell ref="C8:F8"/>
    <mergeCell ref="D12:D13"/>
    <mergeCell ref="X12:X16"/>
    <mergeCell ref="C12:C13"/>
    <mergeCell ref="F12:W12"/>
    <mergeCell ref="C15:C16"/>
    <mergeCell ref="D15:E16"/>
  </mergeCells>
  <conditionalFormatting sqref="E9">
    <cfRule type="expression" dxfId="18" priority="2">
      <formula>($E9="")</formula>
    </cfRule>
  </conditionalFormatting>
  <dataValidations count="1">
    <dataValidation type="list" allowBlank="1" showInputMessage="1" showErrorMessage="1" promptTitle="Выберите:" prompt="год окончания реализации проекта" sqref="E9">
      <formula1>"2014,2015,2016,2017,2018,2019,2020,2021,2022,2023,2024,2025,2026,2027,2028,2029,2030"</formula1>
    </dataValidation>
  </dataValidation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S61"/>
  <sheetViews>
    <sheetView topLeftCell="A7" zoomScale="80" zoomScaleNormal="80" workbookViewId="0">
      <selection activeCell="C8" sqref="C8"/>
    </sheetView>
  </sheetViews>
  <sheetFormatPr defaultColWidth="9.140625" defaultRowHeight="15" x14ac:dyDescent="0.25"/>
  <cols>
    <col min="1" max="1" width="8.28515625" style="70" customWidth="1"/>
    <col min="2" max="2" width="5.7109375" style="70" customWidth="1"/>
    <col min="3" max="3" width="51.42578125" style="70" customWidth="1"/>
    <col min="4" max="4" width="5.7109375" style="73" customWidth="1"/>
    <col min="5" max="5" width="11.140625" style="75" customWidth="1"/>
    <col min="6" max="6" width="12.42578125" style="70" customWidth="1"/>
    <col min="7" max="9" width="12" style="70" customWidth="1"/>
    <col min="10" max="10" width="12.42578125" style="70" bestFit="1" customWidth="1"/>
    <col min="11" max="11" width="13" style="72" customWidth="1"/>
    <col min="12" max="12" width="14.28515625" style="70" customWidth="1"/>
    <col min="13" max="13" width="9.140625" style="70" customWidth="1"/>
    <col min="14" max="14" width="9.140625" style="70"/>
    <col min="15" max="15" width="9.85546875" style="70" bestFit="1" customWidth="1"/>
    <col min="16" max="16384" width="9.140625" style="70"/>
  </cols>
  <sheetData>
    <row r="1" spans="1:13" s="8" customFormat="1" x14ac:dyDescent="0.25"/>
    <row r="2" spans="1:13" s="8" customFormat="1" ht="15.75" x14ac:dyDescent="0.25">
      <c r="A2" s="393"/>
      <c r="B2" s="393"/>
      <c r="C2" s="394" t="s">
        <v>1211</v>
      </c>
      <c r="D2" s="393"/>
      <c r="E2" s="393"/>
      <c r="F2" s="393"/>
      <c r="G2" s="393"/>
      <c r="H2" s="393"/>
      <c r="I2" s="393"/>
      <c r="J2" s="393"/>
      <c r="K2" s="393"/>
      <c r="L2" s="393"/>
      <c r="M2" s="393"/>
    </row>
    <row r="3" spans="1:13" s="8" customFormat="1" x14ac:dyDescent="0.25">
      <c r="A3" s="413"/>
      <c r="B3" s="413"/>
      <c r="C3" s="413"/>
      <c r="D3" s="413"/>
      <c r="E3" s="413"/>
      <c r="F3" s="413"/>
      <c r="G3" s="413"/>
      <c r="H3" s="413"/>
      <c r="I3" s="413"/>
      <c r="J3" s="413"/>
      <c r="K3" s="393"/>
      <c r="L3" s="393"/>
      <c r="M3" s="393"/>
    </row>
    <row r="4" spans="1:13" x14ac:dyDescent="0.25">
      <c r="A4" s="413"/>
      <c r="B4" s="413"/>
      <c r="C4" s="640" t="str">
        <f>IF('Расчет стоимости'!C6="","",'Расчет стоимости'!C6)</f>
        <v>Техническое перевооружение ПС 110/6,6/6,3 кВ «Воргашорская»: замена ОД и КЗ 110 кВ на элегазовые выключатели 110 кВ (2 шт.) г. Воркута Республика Коми</v>
      </c>
      <c r="D4" s="640"/>
      <c r="E4" s="640"/>
      <c r="F4" s="640"/>
      <c r="G4" s="640"/>
      <c r="H4" s="640"/>
      <c r="I4" s="640"/>
      <c r="J4" s="413"/>
      <c r="K4" s="414"/>
      <c r="L4" s="414"/>
      <c r="M4" s="414"/>
    </row>
    <row r="5" spans="1:13" x14ac:dyDescent="0.25">
      <c r="A5" s="414"/>
      <c r="B5" s="415"/>
      <c r="C5" s="641" t="s">
        <v>7</v>
      </c>
      <c r="D5" s="641"/>
      <c r="E5" s="641"/>
      <c r="F5" s="641"/>
      <c r="G5" s="641"/>
      <c r="H5" s="641"/>
      <c r="I5" s="641"/>
      <c r="J5" s="416"/>
      <c r="K5" s="414"/>
      <c r="L5" s="414"/>
      <c r="M5" s="414"/>
    </row>
    <row r="6" spans="1:13" s="8" customFormat="1" x14ac:dyDescent="0.25">
      <c r="A6" s="393"/>
      <c r="B6" s="393"/>
      <c r="C6" s="393"/>
      <c r="D6" s="393"/>
      <c r="E6" s="393"/>
      <c r="F6" s="393"/>
      <c r="G6" s="393"/>
      <c r="H6" s="393"/>
      <c r="I6" s="393"/>
      <c r="J6" s="393"/>
      <c r="K6" s="393"/>
      <c r="L6" s="393"/>
      <c r="M6" s="393"/>
    </row>
    <row r="7" spans="1:13" s="8" customFormat="1" x14ac:dyDescent="0.25">
      <c r="A7" s="393"/>
      <c r="B7" s="393"/>
      <c r="C7" s="417" t="s">
        <v>1218</v>
      </c>
      <c r="D7" s="417"/>
      <c r="E7" s="417" t="str">
        <f>IF('Расчет стоимости'!C11="","",'Расчет стоимости'!C11)</f>
        <v>Республика Коми</v>
      </c>
      <c r="F7" s="393"/>
      <c r="G7" s="393"/>
      <c r="H7" s="393"/>
      <c r="I7" s="393"/>
      <c r="J7" s="393"/>
      <c r="K7" s="418"/>
      <c r="L7" s="418"/>
      <c r="M7" s="393"/>
    </row>
    <row r="8" spans="1:13" s="8" customFormat="1" x14ac:dyDescent="0.25">
      <c r="A8" s="393"/>
      <c r="B8" s="393"/>
      <c r="C8" s="417" t="s">
        <v>1217</v>
      </c>
      <c r="D8" s="417"/>
      <c r="E8" s="441">
        <f>IF(Снижение!E9,Снижение!E9,"год не выбран")</f>
        <v>2025</v>
      </c>
      <c r="F8" s="393"/>
      <c r="G8" s="393"/>
      <c r="H8" s="393"/>
      <c r="I8" s="393"/>
      <c r="J8" s="393"/>
      <c r="K8" s="418"/>
      <c r="L8" s="418"/>
      <c r="M8" s="393"/>
    </row>
    <row r="9" spans="1:13" s="8" customFormat="1" x14ac:dyDescent="0.25">
      <c r="A9" s="393"/>
      <c r="B9" s="393"/>
      <c r="C9" s="417"/>
      <c r="D9" s="393"/>
      <c r="E9" s="393"/>
      <c r="F9" s="414"/>
      <c r="G9" s="393"/>
      <c r="H9" s="393"/>
      <c r="I9" s="393"/>
      <c r="J9" s="393"/>
      <c r="K9" s="418"/>
      <c r="L9" s="418"/>
      <c r="M9" s="393"/>
    </row>
    <row r="10" spans="1:13" x14ac:dyDescent="0.25">
      <c r="A10" s="414"/>
      <c r="B10" s="414"/>
      <c r="C10" s="419" t="s">
        <v>1215</v>
      </c>
      <c r="D10" s="419"/>
      <c r="E10" s="442">
        <v>2024</v>
      </c>
      <c r="F10" s="414"/>
      <c r="G10" s="420"/>
      <c r="H10" s="420"/>
      <c r="I10" s="420"/>
      <c r="J10" s="416"/>
      <c r="K10" s="421"/>
      <c r="L10" s="418"/>
      <c r="M10" s="414"/>
    </row>
    <row r="11" spans="1:13" x14ac:dyDescent="0.25">
      <c r="A11" s="414"/>
      <c r="B11" s="414"/>
      <c r="C11" s="419" t="s">
        <v>1216</v>
      </c>
      <c r="D11" s="419"/>
      <c r="E11" s="442">
        <f>IF(D18,D18,"год не выбран")</f>
        <v>2025</v>
      </c>
      <c r="F11" s="414"/>
      <c r="G11" s="420"/>
      <c r="H11" s="420"/>
      <c r="I11" s="420"/>
      <c r="J11" s="416"/>
      <c r="K11" s="421"/>
      <c r="L11" s="418"/>
      <c r="M11" s="421"/>
    </row>
    <row r="12" spans="1:13" x14ac:dyDescent="0.25">
      <c r="A12" s="414"/>
      <c r="B12" s="414"/>
      <c r="C12" s="414"/>
      <c r="D12" s="422"/>
      <c r="E12" s="423"/>
      <c r="F12" s="414"/>
      <c r="G12" s="414"/>
      <c r="H12" s="414"/>
      <c r="I12" s="414"/>
      <c r="J12" s="414"/>
      <c r="K12" s="424"/>
      <c r="L12" s="414"/>
      <c r="M12" s="414"/>
    </row>
    <row r="13" spans="1:13" x14ac:dyDescent="0.25">
      <c r="A13" s="414"/>
      <c r="B13" s="651" t="s">
        <v>1191</v>
      </c>
      <c r="C13" s="649" t="s">
        <v>1192</v>
      </c>
      <c r="D13" s="658"/>
      <c r="E13" s="656"/>
      <c r="F13" s="653" t="s">
        <v>1205</v>
      </c>
      <c r="G13" s="654"/>
      <c r="H13" s="654"/>
      <c r="I13" s="654"/>
      <c r="J13" s="655"/>
      <c r="K13" s="634" t="s">
        <v>1201</v>
      </c>
      <c r="L13" s="634" t="s">
        <v>30</v>
      </c>
      <c r="M13" s="414"/>
    </row>
    <row r="14" spans="1:13" x14ac:dyDescent="0.25">
      <c r="A14" s="414"/>
      <c r="B14" s="652"/>
      <c r="C14" s="650"/>
      <c r="D14" s="659"/>
      <c r="E14" s="657"/>
      <c r="F14" s="425" t="s">
        <v>184</v>
      </c>
      <c r="G14" s="426" t="s">
        <v>4</v>
      </c>
      <c r="H14" s="425" t="s">
        <v>259</v>
      </c>
      <c r="I14" s="425" t="s">
        <v>311</v>
      </c>
      <c r="J14" s="425" t="s">
        <v>1193</v>
      </c>
      <c r="K14" s="636"/>
      <c r="L14" s="636"/>
      <c r="M14" s="414"/>
    </row>
    <row r="15" spans="1:13" ht="28.5" x14ac:dyDescent="0.25">
      <c r="A15" s="414"/>
      <c r="B15" s="427">
        <v>1</v>
      </c>
      <c r="C15" s="428" t="s">
        <v>1202</v>
      </c>
      <c r="D15" s="429"/>
      <c r="E15" s="430"/>
      <c r="F15" s="429">
        <f ca="1">SUM('Расчет стоимости'!I332:I337)/(1+'Расчет стоимости'!$T$353)</f>
        <v>753.46607996585442</v>
      </c>
      <c r="G15" s="429">
        <f ca="1">SUM('Расчет стоимости'!I338:I340)/(1+'Расчет стоимости'!$T$353)</f>
        <v>2379.3799567752139</v>
      </c>
      <c r="H15" s="429">
        <f ca="1">SUM('Расчет стоимости'!I341:I343)/(1+'Расчет стоимости'!$T$353)</f>
        <v>158.61619883401636</v>
      </c>
      <c r="I15" s="429">
        <f ca="1">SUM('Расчет стоимости'!I329:J331)/(1+'Расчет стоимости'!$T$353)</f>
        <v>317.25196542017108</v>
      </c>
      <c r="J15" s="429">
        <f ca="1">SUM('Расчет стоимости'!I344:J346)/(1+'Расчет стоимости'!$T$353)-('Расчет стоимости'!R107+'Расчет стоимости'!R185+'Расчет стоимости'!R303)</f>
        <v>264.04579900474442</v>
      </c>
      <c r="K15" s="431">
        <f ca="1">F15+G15+H15+I15+J15</f>
        <v>3872.76</v>
      </c>
      <c r="L15" s="431">
        <f ca="1">K15*1.18</f>
        <v>4569.8567999999996</v>
      </c>
      <c r="M15" s="414"/>
    </row>
    <row r="16" spans="1:13" x14ac:dyDescent="0.25">
      <c r="A16" s="414"/>
      <c r="B16" s="427">
        <v>2</v>
      </c>
      <c r="C16" s="428" t="s">
        <v>1203</v>
      </c>
      <c r="D16" s="429"/>
      <c r="E16" s="430"/>
      <c r="F16" s="429">
        <f ca="1">SUM('Расчет стоимости'!P332:P337)/(1+'Расчет стоимости'!$T$353)</f>
        <v>4784.5110753645858</v>
      </c>
      <c r="G16" s="429">
        <f ca="1">SUM('Расчет стоимости'!P338:P340)/(1+'Расчет стоимости'!$T$353)</f>
        <v>9089.2306521712326</v>
      </c>
      <c r="H16" s="429">
        <f ca="1">SUM('Расчет стоимости'!P341:P343)/(1+'Расчет стоимости'!$T$353)</f>
        <v>2008.0818599487325</v>
      </c>
      <c r="I16" s="429">
        <f ca="1">SUM('Расчет стоимости'!P329:P331)/(1+'Расчет стоимости'!$T$353)</f>
        <v>1119.9015903859392</v>
      </c>
      <c r="J16" s="429">
        <f ca="1">SUM('Расчет стоимости'!P344:P346)/(1+'Расчет стоимости'!$T$353)-('Расчет стоимости'!R107*'Расчет стоимости'!E344*'Расчет стоимости'!M344+'Расчет стоимости'!R185*'Расчет стоимости'!E345*'Расчет стоимости'!M345+'Расчет стоимости'!R303*'Расчет стоимости'!E346*'Расчет стоимости'!M346)</f>
        <v>1974.2747309552979</v>
      </c>
      <c r="K16" s="431">
        <f ca="1">F16+G16+H16+I16+J16</f>
        <v>18975.999908825786</v>
      </c>
      <c r="L16" s="431">
        <f t="shared" ref="L16:L47" ca="1" si="0">K16*1.18</f>
        <v>22391.679892414428</v>
      </c>
      <c r="M16" s="414"/>
    </row>
    <row r="17" spans="1:19" ht="21.75" customHeight="1" x14ac:dyDescent="0.25">
      <c r="A17" s="414"/>
      <c r="B17" s="648">
        <v>3</v>
      </c>
      <c r="C17" s="637" t="s">
        <v>1213</v>
      </c>
      <c r="D17" s="638"/>
      <c r="E17" s="638"/>
      <c r="F17" s="638"/>
      <c r="G17" s="638"/>
      <c r="H17" s="638"/>
      <c r="I17" s="638"/>
      <c r="J17" s="638"/>
      <c r="K17" s="638"/>
      <c r="L17" s="639"/>
      <c r="M17" s="414"/>
      <c r="O17" s="235"/>
      <c r="P17" s="235"/>
      <c r="Q17" s="235"/>
      <c r="R17" s="235"/>
      <c r="S17" s="235"/>
    </row>
    <row r="18" spans="1:19" ht="15.75" customHeight="1" x14ac:dyDescent="0.25">
      <c r="A18" s="414"/>
      <c r="B18" s="648"/>
      <c r="C18" s="432" t="s">
        <v>1194</v>
      </c>
      <c r="D18" s="74">
        <f>$E$8</f>
        <v>2025</v>
      </c>
      <c r="E18" s="433">
        <f>IF(D18,HLOOKUP($D18,Снижение!$H$13:$W$16,4,FALSE),"")</f>
        <v>1.9715139029206414</v>
      </c>
      <c r="F18" s="430">
        <f ca="1">IF(D18,F16*E18,"-")</f>
        <v>9432.7301037590696</v>
      </c>
      <c r="G18" s="71"/>
      <c r="H18" s="71"/>
      <c r="I18" s="71"/>
      <c r="J18" s="71"/>
      <c r="K18" s="663"/>
      <c r="L18" s="634"/>
      <c r="M18" s="414"/>
      <c r="O18" s="76"/>
    </row>
    <row r="19" spans="1:19" ht="15.75" customHeight="1" x14ac:dyDescent="0.25">
      <c r="A19" s="414"/>
      <c r="B19" s="648"/>
      <c r="C19" s="432" t="s">
        <v>1195</v>
      </c>
      <c r="D19" s="74">
        <f t="shared" ref="D19:D22" si="1">$E$8</f>
        <v>2025</v>
      </c>
      <c r="E19" s="433">
        <f>IF(D19,HLOOKUP($D19,Снижение!$H$13:$W$16,4,FALSE),"")</f>
        <v>1.9715139029206414</v>
      </c>
      <c r="F19" s="71"/>
      <c r="G19" s="430">
        <f ca="1">IF(D19,G16*E19,"-")</f>
        <v>17919.544597608034</v>
      </c>
      <c r="H19" s="71"/>
      <c r="I19" s="71"/>
      <c r="J19" s="71"/>
      <c r="K19" s="664"/>
      <c r="L19" s="635"/>
      <c r="M19" s="414"/>
      <c r="O19" s="234"/>
    </row>
    <row r="20" spans="1:19" ht="15.75" customHeight="1" x14ac:dyDescent="0.25">
      <c r="A20" s="414"/>
      <c r="B20" s="648"/>
      <c r="C20" s="432" t="s">
        <v>1196</v>
      </c>
      <c r="D20" s="74">
        <f t="shared" si="1"/>
        <v>2025</v>
      </c>
      <c r="E20" s="433">
        <f>IF(D20,HLOOKUP($D20,Снижение!$H$13:$W$16,4,FALSE),"")</f>
        <v>1.9715139029206414</v>
      </c>
      <c r="F20" s="71"/>
      <c r="G20" s="71"/>
      <c r="H20" s="430">
        <f ca="1">IF(D20,H16*E20,"-")</f>
        <v>3958.9613050916664</v>
      </c>
      <c r="I20" s="71"/>
      <c r="J20" s="71"/>
      <c r="K20" s="664"/>
      <c r="L20" s="635"/>
      <c r="M20" s="414"/>
    </row>
    <row r="21" spans="1:19" ht="15.75" customHeight="1" x14ac:dyDescent="0.25">
      <c r="A21" s="414"/>
      <c r="B21" s="648"/>
      <c r="C21" s="432" t="s">
        <v>1197</v>
      </c>
      <c r="D21" s="74">
        <v>2024</v>
      </c>
      <c r="E21" s="433">
        <f>IF(D21,HLOOKUP($D21,Снижение!$H$13:$W$16,4,FALSE),"")</f>
        <v>1.8920478914785426</v>
      </c>
      <c r="F21" s="71"/>
      <c r="G21" s="71"/>
      <c r="H21" s="71"/>
      <c r="I21" s="430">
        <f ca="1">IF(D21,I16*E21,"-")</f>
        <v>2118.9074427531827</v>
      </c>
      <c r="J21" s="71"/>
      <c r="K21" s="664"/>
      <c r="L21" s="635"/>
      <c r="M21" s="414"/>
    </row>
    <row r="22" spans="1:19" ht="15.75" customHeight="1" x14ac:dyDescent="0.25">
      <c r="A22" s="414"/>
      <c r="B22" s="648"/>
      <c r="C22" s="432" t="s">
        <v>1198</v>
      </c>
      <c r="D22" s="74">
        <f t="shared" si="1"/>
        <v>2025</v>
      </c>
      <c r="E22" s="433">
        <f>IF(D22,HLOOKUP($D22,Снижение!$H$13:$W$16,4,FALSE),"")</f>
        <v>1.9715139029206414</v>
      </c>
      <c r="F22" s="71"/>
      <c r="G22" s="71"/>
      <c r="H22" s="71"/>
      <c r="I22" s="71"/>
      <c r="J22" s="430">
        <f ca="1">IF(D22,J16*E22,"-")</f>
        <v>3892.3100802632785</v>
      </c>
      <c r="K22" s="665"/>
      <c r="L22" s="636"/>
      <c r="M22" s="414"/>
    </row>
    <row r="23" spans="1:19" ht="30" customHeight="1" x14ac:dyDescent="0.25">
      <c r="A23" s="414"/>
      <c r="B23" s="427"/>
      <c r="C23" s="637" t="s">
        <v>1214</v>
      </c>
      <c r="D23" s="638"/>
      <c r="E23" s="638"/>
      <c r="F23" s="638"/>
      <c r="G23" s="638"/>
      <c r="H23" s="638"/>
      <c r="I23" s="638"/>
      <c r="J23" s="638"/>
      <c r="K23" s="638"/>
      <c r="L23" s="639"/>
      <c r="M23" s="414"/>
    </row>
    <row r="24" spans="1:19" x14ac:dyDescent="0.25">
      <c r="A24" s="414"/>
      <c r="B24" s="648">
        <v>4</v>
      </c>
      <c r="C24" s="432" t="s">
        <v>1206</v>
      </c>
      <c r="D24" s="434">
        <f>IF(ISNUMBER(D18),D18,"Нет")</f>
        <v>2025</v>
      </c>
      <c r="E24" s="435">
        <f>IF(D18,HLOOKUP($D24,Снижение!$H$13:$W$16,2,FALSE),"")</f>
        <v>0.7</v>
      </c>
      <c r="F24" s="430">
        <f ca="1">IF(D18,E24*F18,"-")</f>
        <v>6602.9110726313484</v>
      </c>
      <c r="G24" s="71"/>
      <c r="H24" s="71"/>
      <c r="I24" s="71"/>
      <c r="J24" s="71"/>
      <c r="K24" s="666"/>
      <c r="L24" s="634"/>
      <c r="M24" s="414"/>
    </row>
    <row r="25" spans="1:19" x14ac:dyDescent="0.25">
      <c r="A25" s="414"/>
      <c r="B25" s="648"/>
      <c r="C25" s="432" t="s">
        <v>1207</v>
      </c>
      <c r="D25" s="434">
        <f t="shared" ref="D25:D28" si="2">IF(ISNUMBER(D19),D19,"Нет")</f>
        <v>2025</v>
      </c>
      <c r="E25" s="435">
        <f>IF(D19,HLOOKUP($D25,Снижение!$H$13:$W$16,2,FALSE),"")</f>
        <v>0.7</v>
      </c>
      <c r="F25" s="71"/>
      <c r="G25" s="430">
        <f ca="1">IF(D19,G19*E25,"-")</f>
        <v>12543.681218325622</v>
      </c>
      <c r="H25" s="71"/>
      <c r="I25" s="71"/>
      <c r="J25" s="71"/>
      <c r="K25" s="667"/>
      <c r="L25" s="635"/>
      <c r="M25" s="414"/>
    </row>
    <row r="26" spans="1:19" x14ac:dyDescent="0.25">
      <c r="A26" s="414"/>
      <c r="B26" s="648"/>
      <c r="C26" s="432" t="s">
        <v>1208</v>
      </c>
      <c r="D26" s="434">
        <f t="shared" si="2"/>
        <v>2025</v>
      </c>
      <c r="E26" s="435">
        <f>IF(D20,HLOOKUP($D26,Снижение!$H$13:$W$16,2,FALSE),"")</f>
        <v>0.7</v>
      </c>
      <c r="F26" s="71"/>
      <c r="G26" s="71"/>
      <c r="H26" s="430">
        <f ca="1">IF(D20,H20*E26,"-")</f>
        <v>2771.2729135641662</v>
      </c>
      <c r="I26" s="71"/>
      <c r="J26" s="71"/>
      <c r="K26" s="667"/>
      <c r="L26" s="635"/>
      <c r="M26" s="414"/>
    </row>
    <row r="27" spans="1:19" x14ac:dyDescent="0.25">
      <c r="A27" s="414"/>
      <c r="B27" s="648"/>
      <c r="C27" s="432" t="s">
        <v>1209</v>
      </c>
      <c r="D27" s="434">
        <f t="shared" si="2"/>
        <v>2024</v>
      </c>
      <c r="E27" s="435">
        <f>IF(D21,HLOOKUP($D27,Снижение!$H$13:$W$16,2,FALSE),"")</f>
        <v>0.7</v>
      </c>
      <c r="F27" s="71"/>
      <c r="G27" s="71"/>
      <c r="H27" s="71"/>
      <c r="I27" s="430">
        <f ca="1">IF(D21,I21*E27,"-")</f>
        <v>1483.2352099272277</v>
      </c>
      <c r="J27" s="71"/>
      <c r="K27" s="667"/>
      <c r="L27" s="635"/>
      <c r="M27" s="414"/>
    </row>
    <row r="28" spans="1:19" x14ac:dyDescent="0.25">
      <c r="A28" s="414"/>
      <c r="B28" s="648"/>
      <c r="C28" s="432" t="s">
        <v>1210</v>
      </c>
      <c r="D28" s="434">
        <f t="shared" si="2"/>
        <v>2025</v>
      </c>
      <c r="E28" s="435">
        <f>IF(D22,HLOOKUP($D28,Снижение!$H$13:$W$16,2,FALSE),"")</f>
        <v>0.7</v>
      </c>
      <c r="F28" s="71"/>
      <c r="G28" s="71"/>
      <c r="H28" s="71"/>
      <c r="I28" s="71"/>
      <c r="J28" s="430">
        <f ca="1">IF(D22,J22*E28,"-")</f>
        <v>2724.6170561842946</v>
      </c>
      <c r="K28" s="668"/>
      <c r="L28" s="636"/>
      <c r="M28" s="414"/>
    </row>
    <row r="29" spans="1:19" ht="19.5" customHeight="1" x14ac:dyDescent="0.25">
      <c r="A29" s="414"/>
      <c r="B29" s="642">
        <v>5</v>
      </c>
      <c r="C29" s="660" t="s">
        <v>1200</v>
      </c>
      <c r="D29" s="661"/>
      <c r="E29" s="661"/>
      <c r="F29" s="661"/>
      <c r="G29" s="661"/>
      <c r="H29" s="661"/>
      <c r="I29" s="661"/>
      <c r="J29" s="661"/>
      <c r="K29" s="661"/>
      <c r="L29" s="662"/>
      <c r="M29" s="414"/>
    </row>
    <row r="30" spans="1:19" x14ac:dyDescent="0.25">
      <c r="A30" s="414"/>
      <c r="B30" s="643"/>
      <c r="C30" s="71" t="str">
        <f>CONCATENATE("в ",D30," году")</f>
        <v>в 2014 году</v>
      </c>
      <c r="D30" s="436">
        <v>2014</v>
      </c>
      <c r="E30" s="437"/>
      <c r="F30" s="71" t="str">
        <f>IF($D$18=$D30,$F$24,"")</f>
        <v/>
      </c>
      <c r="G30" s="71" t="str">
        <f>IF($D$19=$D30,$G$25,"")</f>
        <v/>
      </c>
      <c r="H30" s="71" t="str">
        <f>IF($D$20=$D30,$H$26,"")</f>
        <v/>
      </c>
      <c r="I30" s="71" t="str">
        <f>IF($D$21=$D30,$I$27,"")</f>
        <v/>
      </c>
      <c r="J30" s="71" t="str">
        <f>IF($D$22=$D30,$J$28,"")</f>
        <v/>
      </c>
      <c r="K30" s="438">
        <f>SUM(F30:J30)</f>
        <v>0</v>
      </c>
      <c r="L30" s="431">
        <f t="shared" si="0"/>
        <v>0</v>
      </c>
      <c r="M30" s="414"/>
    </row>
    <row r="31" spans="1:19" x14ac:dyDescent="0.25">
      <c r="A31" s="414"/>
      <c r="B31" s="643"/>
      <c r="C31" s="71" t="str">
        <f t="shared" ref="C31:C46" si="3">CONCATENATE("в ",D31," году")</f>
        <v>в 2015 году</v>
      </c>
      <c r="D31" s="436">
        <v>2015</v>
      </c>
      <c r="E31" s="430"/>
      <c r="F31" s="71" t="str">
        <f t="shared" ref="F31:F46" si="4">IF($D$18=$D31,$F$24,"")</f>
        <v/>
      </c>
      <c r="G31" s="71" t="str">
        <f t="shared" ref="G31:G46" si="5">IF($D$19=$D31,$G$25,"")</f>
        <v/>
      </c>
      <c r="H31" s="71" t="str">
        <f t="shared" ref="H31:H46" si="6">IF($D$20=$D31,$H$26,"")</f>
        <v/>
      </c>
      <c r="I31" s="71" t="str">
        <f t="shared" ref="I31:I46" si="7">IF($D$21=$D31,$I$27,"")</f>
        <v/>
      </c>
      <c r="J31" s="71" t="str">
        <f t="shared" ref="J31:J46" si="8">IF($D$22=$D31,$J$28,"")</f>
        <v/>
      </c>
      <c r="K31" s="438">
        <f>SUM(F31:J31)</f>
        <v>0</v>
      </c>
      <c r="L31" s="431">
        <f t="shared" si="0"/>
        <v>0</v>
      </c>
      <c r="M31" s="414"/>
      <c r="O31" s="72"/>
      <c r="P31" s="72"/>
    </row>
    <row r="32" spans="1:19" x14ac:dyDescent="0.25">
      <c r="A32" s="414"/>
      <c r="B32" s="643"/>
      <c r="C32" s="71" t="str">
        <f t="shared" si="3"/>
        <v>в 2016 году</v>
      </c>
      <c r="D32" s="436">
        <v>2016</v>
      </c>
      <c r="E32" s="430"/>
      <c r="F32" s="71" t="str">
        <f t="shared" si="4"/>
        <v/>
      </c>
      <c r="G32" s="71" t="str">
        <f t="shared" si="5"/>
        <v/>
      </c>
      <c r="H32" s="71" t="str">
        <f t="shared" si="6"/>
        <v/>
      </c>
      <c r="I32" s="71" t="str">
        <f t="shared" si="7"/>
        <v/>
      </c>
      <c r="J32" s="71" t="str">
        <f t="shared" si="8"/>
        <v/>
      </c>
      <c r="K32" s="438">
        <f t="shared" ref="K32:K46" si="9">SUM(F32:J32)</f>
        <v>0</v>
      </c>
      <c r="L32" s="431">
        <f t="shared" si="0"/>
        <v>0</v>
      </c>
      <c r="M32" s="414"/>
    </row>
    <row r="33" spans="1:16" x14ac:dyDescent="0.25">
      <c r="A33" s="414"/>
      <c r="B33" s="643"/>
      <c r="C33" s="71" t="str">
        <f t="shared" si="3"/>
        <v>в 2017 году</v>
      </c>
      <c r="D33" s="436">
        <v>2017</v>
      </c>
      <c r="E33" s="430"/>
      <c r="F33" s="71" t="str">
        <f t="shared" si="4"/>
        <v/>
      </c>
      <c r="G33" s="71" t="str">
        <f t="shared" si="5"/>
        <v/>
      </c>
      <c r="H33" s="71" t="str">
        <f t="shared" si="6"/>
        <v/>
      </c>
      <c r="I33" s="71" t="str">
        <f t="shared" si="7"/>
        <v/>
      </c>
      <c r="J33" s="71" t="str">
        <f t="shared" si="8"/>
        <v/>
      </c>
      <c r="K33" s="438">
        <f t="shared" si="9"/>
        <v>0</v>
      </c>
      <c r="L33" s="431">
        <f t="shared" si="0"/>
        <v>0</v>
      </c>
      <c r="M33" s="414"/>
    </row>
    <row r="34" spans="1:16" x14ac:dyDescent="0.25">
      <c r="A34" s="414"/>
      <c r="B34" s="643"/>
      <c r="C34" s="71" t="str">
        <f t="shared" si="3"/>
        <v>в 2018 году</v>
      </c>
      <c r="D34" s="436">
        <v>2018</v>
      </c>
      <c r="E34" s="430"/>
      <c r="F34" s="71" t="str">
        <f t="shared" si="4"/>
        <v/>
      </c>
      <c r="G34" s="71" t="str">
        <f t="shared" si="5"/>
        <v/>
      </c>
      <c r="H34" s="71" t="str">
        <f t="shared" si="6"/>
        <v/>
      </c>
      <c r="I34" s="71" t="str">
        <f t="shared" si="7"/>
        <v/>
      </c>
      <c r="J34" s="71" t="str">
        <f t="shared" si="8"/>
        <v/>
      </c>
      <c r="K34" s="438">
        <f t="shared" si="9"/>
        <v>0</v>
      </c>
      <c r="L34" s="431">
        <f t="shared" si="0"/>
        <v>0</v>
      </c>
      <c r="M34" s="414"/>
    </row>
    <row r="35" spans="1:16" x14ac:dyDescent="0.25">
      <c r="A35" s="414"/>
      <c r="B35" s="643"/>
      <c r="C35" s="71" t="str">
        <f t="shared" si="3"/>
        <v>в 2019 году</v>
      </c>
      <c r="D35" s="436">
        <v>2019</v>
      </c>
      <c r="E35" s="430"/>
      <c r="F35" s="71" t="str">
        <f t="shared" si="4"/>
        <v/>
      </c>
      <c r="G35" s="71" t="str">
        <f t="shared" si="5"/>
        <v/>
      </c>
      <c r="H35" s="71" t="str">
        <f t="shared" si="6"/>
        <v/>
      </c>
      <c r="I35" s="71" t="str">
        <f t="shared" si="7"/>
        <v/>
      </c>
      <c r="J35" s="71" t="str">
        <f t="shared" si="8"/>
        <v/>
      </c>
      <c r="K35" s="438">
        <f t="shared" si="9"/>
        <v>0</v>
      </c>
      <c r="L35" s="431">
        <f t="shared" si="0"/>
        <v>0</v>
      </c>
      <c r="M35" s="414"/>
    </row>
    <row r="36" spans="1:16" x14ac:dyDescent="0.25">
      <c r="A36" s="414"/>
      <c r="B36" s="643"/>
      <c r="C36" s="71" t="str">
        <f t="shared" si="3"/>
        <v>в 2020 году</v>
      </c>
      <c r="D36" s="436">
        <v>2020</v>
      </c>
      <c r="E36" s="430"/>
      <c r="F36" s="71" t="str">
        <f t="shared" si="4"/>
        <v/>
      </c>
      <c r="G36" s="71" t="str">
        <f t="shared" si="5"/>
        <v/>
      </c>
      <c r="H36" s="71" t="str">
        <f t="shared" si="6"/>
        <v/>
      </c>
      <c r="I36" s="71" t="str">
        <f t="shared" si="7"/>
        <v/>
      </c>
      <c r="J36" s="71" t="str">
        <f t="shared" si="8"/>
        <v/>
      </c>
      <c r="K36" s="438">
        <f t="shared" si="9"/>
        <v>0</v>
      </c>
      <c r="L36" s="431">
        <f t="shared" si="0"/>
        <v>0</v>
      </c>
      <c r="M36" s="414"/>
    </row>
    <row r="37" spans="1:16" x14ac:dyDescent="0.25">
      <c r="A37" s="414"/>
      <c r="B37" s="643"/>
      <c r="C37" s="71" t="str">
        <f t="shared" si="3"/>
        <v>в 2021 году</v>
      </c>
      <c r="D37" s="436">
        <v>2021</v>
      </c>
      <c r="E37" s="430"/>
      <c r="F37" s="71" t="str">
        <f t="shared" si="4"/>
        <v/>
      </c>
      <c r="G37" s="71" t="str">
        <f t="shared" si="5"/>
        <v/>
      </c>
      <c r="H37" s="71" t="str">
        <f t="shared" si="6"/>
        <v/>
      </c>
      <c r="I37" s="71" t="str">
        <f t="shared" si="7"/>
        <v/>
      </c>
      <c r="J37" s="71" t="str">
        <f t="shared" si="8"/>
        <v/>
      </c>
      <c r="K37" s="438">
        <f t="shared" si="9"/>
        <v>0</v>
      </c>
      <c r="L37" s="431">
        <f t="shared" si="0"/>
        <v>0</v>
      </c>
      <c r="M37" s="414"/>
      <c r="N37" s="72"/>
      <c r="O37" s="72"/>
    </row>
    <row r="38" spans="1:16" x14ac:dyDescent="0.25">
      <c r="A38" s="414"/>
      <c r="B38" s="643"/>
      <c r="C38" s="71" t="str">
        <f t="shared" si="3"/>
        <v>в 2022 году</v>
      </c>
      <c r="D38" s="436">
        <v>2022</v>
      </c>
      <c r="E38" s="430"/>
      <c r="F38" s="71" t="str">
        <f t="shared" si="4"/>
        <v/>
      </c>
      <c r="G38" s="71" t="str">
        <f t="shared" si="5"/>
        <v/>
      </c>
      <c r="H38" s="71" t="str">
        <f t="shared" si="6"/>
        <v/>
      </c>
      <c r="I38" s="71" t="str">
        <f t="shared" si="7"/>
        <v/>
      </c>
      <c r="J38" s="71" t="str">
        <f t="shared" si="8"/>
        <v/>
      </c>
      <c r="K38" s="438">
        <f t="shared" si="9"/>
        <v>0</v>
      </c>
      <c r="L38" s="431">
        <f t="shared" si="0"/>
        <v>0</v>
      </c>
      <c r="M38" s="414"/>
    </row>
    <row r="39" spans="1:16" x14ac:dyDescent="0.25">
      <c r="A39" s="414"/>
      <c r="B39" s="643"/>
      <c r="C39" s="71" t="str">
        <f t="shared" si="3"/>
        <v>в 2023 году</v>
      </c>
      <c r="D39" s="436">
        <v>2023</v>
      </c>
      <c r="E39" s="430"/>
      <c r="F39" s="71" t="str">
        <f>IF($D$18=$D39,$F$24,"")</f>
        <v/>
      </c>
      <c r="G39" s="71" t="str">
        <f>IF($D$19=$D39,$G$25,"")</f>
        <v/>
      </c>
      <c r="H39" s="71" t="str">
        <f>IF($D$20=$D39,$H$26,"")</f>
        <v/>
      </c>
      <c r="I39" s="71" t="str">
        <f>IF($D$21=$D39,$I$27,"")</f>
        <v/>
      </c>
      <c r="J39" s="71" t="str">
        <f>IF($D$22=$D39,$J$28,"")</f>
        <v/>
      </c>
      <c r="K39" s="438">
        <f t="shared" si="9"/>
        <v>0</v>
      </c>
      <c r="L39" s="431">
        <f t="shared" si="0"/>
        <v>0</v>
      </c>
      <c r="M39" s="414"/>
    </row>
    <row r="40" spans="1:16" x14ac:dyDescent="0.25">
      <c r="A40" s="414"/>
      <c r="B40" s="643"/>
      <c r="C40" s="71" t="str">
        <f t="shared" si="3"/>
        <v>в 2024 году</v>
      </c>
      <c r="D40" s="436">
        <v>2024</v>
      </c>
      <c r="E40" s="430"/>
      <c r="F40" s="71" t="str">
        <f t="shared" si="4"/>
        <v/>
      </c>
      <c r="G40" s="71" t="str">
        <f t="shared" si="5"/>
        <v/>
      </c>
      <c r="H40" s="71" t="str">
        <f t="shared" si="6"/>
        <v/>
      </c>
      <c r="I40" s="71">
        <f t="shared" ca="1" si="7"/>
        <v>1483.2352099272277</v>
      </c>
      <c r="J40" s="71" t="str">
        <f t="shared" si="8"/>
        <v/>
      </c>
      <c r="K40" s="438">
        <f t="shared" ca="1" si="9"/>
        <v>1483.2352099272277</v>
      </c>
      <c r="L40" s="431">
        <f t="shared" ca="1" si="0"/>
        <v>1750.2175477141286</v>
      </c>
      <c r="M40" s="414"/>
    </row>
    <row r="41" spans="1:16" x14ac:dyDescent="0.25">
      <c r="A41" s="414"/>
      <c r="B41" s="643"/>
      <c r="C41" s="71" t="str">
        <f t="shared" si="3"/>
        <v>в 2025 году</v>
      </c>
      <c r="D41" s="436">
        <v>2025</v>
      </c>
      <c r="E41" s="430"/>
      <c r="F41" s="71">
        <f t="shared" ca="1" si="4"/>
        <v>6602.9110726313484</v>
      </c>
      <c r="G41" s="71">
        <f t="shared" ca="1" si="5"/>
        <v>12543.681218325622</v>
      </c>
      <c r="H41" s="71">
        <f t="shared" ca="1" si="6"/>
        <v>2771.2729135641662</v>
      </c>
      <c r="I41" s="71" t="str">
        <f t="shared" si="7"/>
        <v/>
      </c>
      <c r="J41" s="71">
        <f t="shared" ca="1" si="8"/>
        <v>2724.6170561842946</v>
      </c>
      <c r="K41" s="438">
        <f t="shared" ca="1" si="9"/>
        <v>24642.482260705434</v>
      </c>
      <c r="L41" s="431">
        <f t="shared" ca="1" si="0"/>
        <v>29078.12906763241</v>
      </c>
      <c r="M41" s="414"/>
    </row>
    <row r="42" spans="1:16" x14ac:dyDescent="0.25">
      <c r="A42" s="414"/>
      <c r="B42" s="643"/>
      <c r="C42" s="71" t="str">
        <f t="shared" si="3"/>
        <v>в 2026 году</v>
      </c>
      <c r="D42" s="436">
        <v>2026</v>
      </c>
      <c r="E42" s="430"/>
      <c r="F42" s="71" t="str">
        <f t="shared" si="4"/>
        <v/>
      </c>
      <c r="G42" s="71" t="str">
        <f t="shared" si="5"/>
        <v/>
      </c>
      <c r="H42" s="71" t="str">
        <f t="shared" si="6"/>
        <v/>
      </c>
      <c r="I42" s="71" t="str">
        <f t="shared" si="7"/>
        <v/>
      </c>
      <c r="J42" s="71" t="str">
        <f t="shared" si="8"/>
        <v/>
      </c>
      <c r="K42" s="438">
        <f t="shared" si="9"/>
        <v>0</v>
      </c>
      <c r="L42" s="431">
        <f t="shared" si="0"/>
        <v>0</v>
      </c>
      <c r="M42" s="414"/>
    </row>
    <row r="43" spans="1:16" x14ac:dyDescent="0.25">
      <c r="A43" s="414"/>
      <c r="B43" s="643"/>
      <c r="C43" s="71" t="str">
        <f t="shared" si="3"/>
        <v>в 2027 году</v>
      </c>
      <c r="D43" s="436">
        <v>2027</v>
      </c>
      <c r="E43" s="430"/>
      <c r="F43" s="71" t="str">
        <f t="shared" si="4"/>
        <v/>
      </c>
      <c r="G43" s="71" t="str">
        <f t="shared" si="5"/>
        <v/>
      </c>
      <c r="H43" s="71" t="str">
        <f t="shared" si="6"/>
        <v/>
      </c>
      <c r="I43" s="71" t="str">
        <f t="shared" si="7"/>
        <v/>
      </c>
      <c r="J43" s="71" t="str">
        <f t="shared" si="8"/>
        <v/>
      </c>
      <c r="K43" s="438">
        <f t="shared" si="9"/>
        <v>0</v>
      </c>
      <c r="L43" s="431">
        <f t="shared" si="0"/>
        <v>0</v>
      </c>
      <c r="M43" s="414"/>
    </row>
    <row r="44" spans="1:16" x14ac:dyDescent="0.25">
      <c r="A44" s="414"/>
      <c r="B44" s="643"/>
      <c r="C44" s="71" t="str">
        <f t="shared" si="3"/>
        <v>в 2028 году</v>
      </c>
      <c r="D44" s="436">
        <v>2028</v>
      </c>
      <c r="E44" s="430"/>
      <c r="F44" s="71" t="str">
        <f t="shared" si="4"/>
        <v/>
      </c>
      <c r="G44" s="71" t="str">
        <f t="shared" si="5"/>
        <v/>
      </c>
      <c r="H44" s="71" t="str">
        <f t="shared" si="6"/>
        <v/>
      </c>
      <c r="I44" s="71" t="str">
        <f t="shared" si="7"/>
        <v/>
      </c>
      <c r="J44" s="71" t="str">
        <f t="shared" si="8"/>
        <v/>
      </c>
      <c r="K44" s="438">
        <f t="shared" si="9"/>
        <v>0</v>
      </c>
      <c r="L44" s="431">
        <f t="shared" si="0"/>
        <v>0</v>
      </c>
      <c r="M44" s="414"/>
    </row>
    <row r="45" spans="1:16" x14ac:dyDescent="0.25">
      <c r="A45" s="414"/>
      <c r="B45" s="643"/>
      <c r="C45" s="71" t="str">
        <f t="shared" si="3"/>
        <v>в 2029 году</v>
      </c>
      <c r="D45" s="436">
        <v>2029</v>
      </c>
      <c r="E45" s="430"/>
      <c r="F45" s="71" t="str">
        <f t="shared" si="4"/>
        <v/>
      </c>
      <c r="G45" s="71" t="str">
        <f t="shared" si="5"/>
        <v/>
      </c>
      <c r="H45" s="71" t="str">
        <f t="shared" si="6"/>
        <v/>
      </c>
      <c r="I45" s="71" t="str">
        <f t="shared" si="7"/>
        <v/>
      </c>
      <c r="J45" s="71" t="str">
        <f t="shared" si="8"/>
        <v/>
      </c>
      <c r="K45" s="438">
        <f t="shared" si="9"/>
        <v>0</v>
      </c>
      <c r="L45" s="431">
        <f t="shared" si="0"/>
        <v>0</v>
      </c>
      <c r="M45" s="414"/>
    </row>
    <row r="46" spans="1:16" x14ac:dyDescent="0.25">
      <c r="A46" s="414"/>
      <c r="B46" s="644"/>
      <c r="C46" s="71" t="str">
        <f t="shared" si="3"/>
        <v>в 2030 году</v>
      </c>
      <c r="D46" s="436">
        <v>2030</v>
      </c>
      <c r="E46" s="430"/>
      <c r="F46" s="71" t="str">
        <f t="shared" si="4"/>
        <v/>
      </c>
      <c r="G46" s="71" t="str">
        <f t="shared" si="5"/>
        <v/>
      </c>
      <c r="H46" s="71" t="str">
        <f t="shared" si="6"/>
        <v/>
      </c>
      <c r="I46" s="71" t="str">
        <f t="shared" si="7"/>
        <v/>
      </c>
      <c r="J46" s="71" t="str">
        <f t="shared" si="8"/>
        <v/>
      </c>
      <c r="K46" s="438">
        <f t="shared" si="9"/>
        <v>0</v>
      </c>
      <c r="L46" s="431">
        <f t="shared" si="0"/>
        <v>0</v>
      </c>
      <c r="M46" s="414"/>
    </row>
    <row r="47" spans="1:16" x14ac:dyDescent="0.25">
      <c r="A47" s="414"/>
      <c r="B47" s="439">
        <v>6</v>
      </c>
      <c r="C47" s="645" t="s">
        <v>1199</v>
      </c>
      <c r="D47" s="646"/>
      <c r="E47" s="646"/>
      <c r="F47" s="646"/>
      <c r="G47" s="646"/>
      <c r="H47" s="646"/>
      <c r="I47" s="646"/>
      <c r="J47" s="647"/>
      <c r="K47" s="438">
        <f ca="1">SUM(K31:K46)</f>
        <v>26125.717470632662</v>
      </c>
      <c r="L47" s="431">
        <f t="shared" ca="1" si="0"/>
        <v>30828.346615346542</v>
      </c>
      <c r="M47" s="414"/>
    </row>
    <row r="48" spans="1:16" s="72" customFormat="1" x14ac:dyDescent="0.25">
      <c r="A48" s="424"/>
      <c r="B48" s="414"/>
      <c r="C48" s="440" t="s">
        <v>1204</v>
      </c>
      <c r="D48" s="422"/>
      <c r="E48" s="423"/>
      <c r="F48" s="414"/>
      <c r="G48" s="414"/>
      <c r="H48" s="414"/>
      <c r="I48" s="414"/>
      <c r="J48" s="414"/>
      <c r="K48" s="424"/>
      <c r="L48" s="424"/>
      <c r="M48" s="414"/>
      <c r="N48" s="70"/>
      <c r="O48" s="70"/>
      <c r="P48" s="70"/>
    </row>
    <row r="49" spans="1:16" x14ac:dyDescent="0.25">
      <c r="A49" s="414"/>
      <c r="B49" s="414"/>
      <c r="C49" s="414"/>
      <c r="D49" s="422"/>
      <c r="E49" s="423"/>
      <c r="F49" s="414"/>
      <c r="G49" s="414"/>
      <c r="H49" s="414"/>
      <c r="I49" s="414"/>
      <c r="J49" s="414"/>
      <c r="K49" s="424"/>
      <c r="L49" s="414"/>
      <c r="M49" s="414"/>
    </row>
    <row r="50" spans="1:16" x14ac:dyDescent="0.25">
      <c r="A50" s="414"/>
      <c r="B50" s="414"/>
      <c r="C50" s="443" t="s">
        <v>1395</v>
      </c>
      <c r="D50" s="444"/>
      <c r="E50" s="444"/>
      <c r="F50" s="444"/>
      <c r="G50" s="444"/>
      <c r="H50" s="444"/>
      <c r="I50" s="445"/>
      <c r="J50" s="445"/>
      <c r="K50" s="446"/>
      <c r="L50" s="447"/>
      <c r="M50" s="414"/>
    </row>
    <row r="51" spans="1:16" x14ac:dyDescent="0.25">
      <c r="A51" s="414"/>
      <c r="B51" s="414"/>
      <c r="C51" s="33"/>
      <c r="D51" s="448"/>
      <c r="E51" s="449"/>
      <c r="F51" s="447"/>
      <c r="G51" s="447"/>
      <c r="H51" s="447"/>
      <c r="I51" s="450"/>
      <c r="J51" s="450"/>
      <c r="K51" s="451"/>
      <c r="L51" s="447"/>
      <c r="M51" s="414"/>
    </row>
    <row r="52" spans="1:16" x14ac:dyDescent="0.25">
      <c r="A52" s="414"/>
      <c r="B52" s="414"/>
      <c r="C52" s="33"/>
      <c r="D52" s="448"/>
      <c r="E52" s="449"/>
      <c r="F52" s="447"/>
      <c r="G52" s="447"/>
      <c r="H52" s="447"/>
      <c r="I52" s="447"/>
      <c r="J52" s="447"/>
      <c r="K52" s="451"/>
      <c r="L52" s="447"/>
      <c r="M52" s="414"/>
    </row>
    <row r="53" spans="1:16" x14ac:dyDescent="0.25">
      <c r="A53" s="414"/>
      <c r="B53" s="414"/>
      <c r="C53" s="443" t="s">
        <v>1396</v>
      </c>
      <c r="D53" s="444"/>
      <c r="E53" s="444"/>
      <c r="F53" s="444"/>
      <c r="G53" s="444"/>
      <c r="H53" s="444"/>
      <c r="I53" s="445"/>
      <c r="J53" s="445"/>
      <c r="K53" s="447"/>
      <c r="L53" s="447"/>
      <c r="M53" s="414"/>
    </row>
    <row r="54" spans="1:16" s="72" customFormat="1" x14ac:dyDescent="0.25">
      <c r="A54" s="424"/>
      <c r="B54" s="414"/>
      <c r="C54" s="447"/>
      <c r="D54" s="450"/>
      <c r="E54" s="450"/>
      <c r="F54" s="450"/>
      <c r="G54" s="447"/>
      <c r="H54" s="447"/>
      <c r="I54" s="450"/>
      <c r="J54" s="450"/>
      <c r="K54" s="451"/>
      <c r="L54" s="447"/>
      <c r="M54" s="414"/>
      <c r="N54" s="70"/>
      <c r="O54" s="70"/>
      <c r="P54" s="70"/>
    </row>
    <row r="55" spans="1:16" x14ac:dyDescent="0.25">
      <c r="A55" s="414"/>
      <c r="B55" s="414"/>
      <c r="C55" s="452"/>
      <c r="D55" s="447"/>
      <c r="E55" s="447"/>
      <c r="F55" s="447"/>
      <c r="G55" s="447"/>
      <c r="H55" s="447"/>
      <c r="I55" s="445"/>
      <c r="J55" s="445"/>
      <c r="K55" s="451"/>
      <c r="L55" s="447"/>
      <c r="M55" s="414"/>
    </row>
    <row r="56" spans="1:16" x14ac:dyDescent="0.25">
      <c r="C56" s="452"/>
      <c r="D56" s="444"/>
      <c r="E56" s="444"/>
      <c r="F56" s="444"/>
      <c r="G56" s="444"/>
      <c r="H56" s="444"/>
      <c r="I56" s="444"/>
      <c r="J56" s="444"/>
      <c r="K56" s="447"/>
      <c r="L56" s="447"/>
    </row>
    <row r="57" spans="1:16" x14ac:dyDescent="0.25">
      <c r="C57" s="447"/>
      <c r="D57" s="450"/>
      <c r="E57" s="450"/>
      <c r="F57" s="450"/>
      <c r="G57" s="447"/>
      <c r="H57" s="447"/>
      <c r="I57" s="450"/>
      <c r="J57" s="450"/>
      <c r="K57" s="451"/>
      <c r="L57" s="447"/>
    </row>
    <row r="58" spans="1:16" x14ac:dyDescent="0.25">
      <c r="C58" s="447"/>
      <c r="D58" s="448"/>
      <c r="E58" s="449"/>
      <c r="F58" s="447"/>
      <c r="G58" s="447"/>
      <c r="H58" s="447"/>
      <c r="I58" s="447"/>
      <c r="J58" s="447"/>
      <c r="K58" s="451"/>
      <c r="L58" s="447"/>
    </row>
    <row r="59" spans="1:16" x14ac:dyDescent="0.25">
      <c r="C59" s="447"/>
      <c r="D59" s="448"/>
      <c r="E59" s="449"/>
      <c r="F59" s="447"/>
      <c r="G59" s="447"/>
      <c r="H59" s="447"/>
      <c r="I59" s="447"/>
      <c r="J59" s="447"/>
      <c r="K59" s="451"/>
      <c r="L59" s="447"/>
    </row>
    <row r="60" spans="1:16" x14ac:dyDescent="0.25">
      <c r="C60" s="447"/>
      <c r="D60" s="448"/>
      <c r="E60" s="449"/>
      <c r="F60" s="447"/>
      <c r="G60" s="447"/>
      <c r="H60" s="447"/>
      <c r="I60" s="447"/>
      <c r="J60" s="447"/>
      <c r="K60" s="451"/>
      <c r="L60" s="447"/>
    </row>
    <row r="61" spans="1:16" x14ac:dyDescent="0.25">
      <c r="C61" s="447"/>
      <c r="D61" s="448"/>
      <c r="E61" s="449"/>
      <c r="F61" s="447"/>
      <c r="G61" s="447"/>
      <c r="H61" s="447"/>
      <c r="I61" s="447"/>
      <c r="J61" s="447"/>
      <c r="K61" s="451"/>
      <c r="L61" s="447"/>
    </row>
  </sheetData>
  <sheetProtection formatCells="0" formatColumns="0" formatRows="0" insertColumns="0" insertRows="0" insertHyperlinks="0" deleteColumns="0" deleteRows="0" sort="0" pivotTables="0"/>
  <mergeCells count="20">
    <mergeCell ref="B29:B46"/>
    <mergeCell ref="C47:J47"/>
    <mergeCell ref="B17:B22"/>
    <mergeCell ref="B24:B28"/>
    <mergeCell ref="C13:C14"/>
    <mergeCell ref="B13:B14"/>
    <mergeCell ref="F13:J13"/>
    <mergeCell ref="E13:E14"/>
    <mergeCell ref="D13:D14"/>
    <mergeCell ref="C29:L29"/>
    <mergeCell ref="L13:L14"/>
    <mergeCell ref="K18:K22"/>
    <mergeCell ref="L18:L22"/>
    <mergeCell ref="K24:K28"/>
    <mergeCell ref="L24:L28"/>
    <mergeCell ref="C23:L23"/>
    <mergeCell ref="C17:L17"/>
    <mergeCell ref="K13:K14"/>
    <mergeCell ref="C4:I4"/>
    <mergeCell ref="C5:I5"/>
  </mergeCells>
  <conditionalFormatting sqref="D18:D22">
    <cfRule type="containsBlanks" dxfId="17" priority="70">
      <formula>LEN(TRIM(D18))=0</formula>
    </cfRule>
  </conditionalFormatting>
  <conditionalFormatting sqref="F25:F28 F19 F20:G22 H21:H22 F27:H28 G18:J18 H19:J19 I20:J20 J21 F26:G28 I28 H24:J25 I26:J26 I22 G24:H24 J27">
    <cfRule type="containsBlanks" dxfId="16" priority="43">
      <formula>LEN(TRIM(F18))=0</formula>
    </cfRule>
  </conditionalFormatting>
  <conditionalFormatting sqref="F18:J22 F24:J28 F30:K46">
    <cfRule type="containsBlanks" dxfId="15" priority="42">
      <formula>LEN(TRIM(F18))=0</formula>
    </cfRule>
  </conditionalFormatting>
  <dataValidations count="1">
    <dataValidation type="whole" allowBlank="1" showInputMessage="1" showErrorMessage="1" error="Выбор ограничен 2015 годом и годом окончания реализации инвестиционного проекта" promptTitle="Ввведите:" prompt="год окончания реализации этапа СМР" sqref="D18:D22">
      <formula1>2015</formula1>
      <formula2>E8</formula2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N101"/>
  <sheetViews>
    <sheetView topLeftCell="C37" zoomScaleNormal="100" workbookViewId="0">
      <selection activeCell="C8" sqref="C8"/>
    </sheetView>
  </sheetViews>
  <sheetFormatPr defaultColWidth="9.140625" defaultRowHeight="12.75" x14ac:dyDescent="0.2"/>
  <cols>
    <col min="1" max="1" width="5.28515625" style="145" customWidth="1"/>
    <col min="2" max="2" width="17.7109375" style="145" customWidth="1"/>
    <col min="3" max="3" width="48.7109375" style="145" customWidth="1"/>
    <col min="4" max="4" width="13.5703125" style="145" customWidth="1"/>
    <col min="5" max="5" width="13.28515625" style="145" customWidth="1"/>
    <col min="6" max="6" width="12.7109375" style="145" customWidth="1"/>
    <col min="7" max="7" width="14.5703125" style="145" customWidth="1"/>
    <col min="8" max="9" width="9.140625" style="164" hidden="1" customWidth="1"/>
    <col min="10" max="10" width="12.7109375" style="145" bestFit="1" customWidth="1"/>
    <col min="11" max="11" width="11.42578125" style="145" customWidth="1"/>
    <col min="12" max="12" width="10.5703125" style="145" bestFit="1" customWidth="1"/>
    <col min="13" max="16384" width="9.140625" style="145"/>
  </cols>
  <sheetData>
    <row r="1" spans="2:9" hidden="1" x14ac:dyDescent="0.2">
      <c r="H1" s="164" t="s">
        <v>634</v>
      </c>
      <c r="I1" s="164" t="s">
        <v>634</v>
      </c>
    </row>
    <row r="2" spans="2:9" hidden="1" x14ac:dyDescent="0.2">
      <c r="B2" s="145" t="s">
        <v>253</v>
      </c>
      <c r="C2" s="670" t="str">
        <f>IF('Расчет стоимости'!C8="","",'Расчет стоимости'!C8)&amp;" "&amp;IF('Расчет стоимости'!C9="","",'Расчет стоимости'!C9)</f>
        <v>ПАО "МРСК Северо-Запада" Комиэнерго</v>
      </c>
      <c r="D2" s="670"/>
      <c r="E2" s="670"/>
    </row>
    <row r="3" spans="2:9" hidden="1" x14ac:dyDescent="0.2">
      <c r="C3" s="671" t="s">
        <v>254</v>
      </c>
      <c r="D3" s="671"/>
      <c r="E3" s="671"/>
    </row>
    <row r="4" spans="2:9" hidden="1" x14ac:dyDescent="0.2">
      <c r="B4" s="145" t="s">
        <v>255</v>
      </c>
      <c r="C4" s="165"/>
      <c r="D4" s="165"/>
      <c r="E4" s="165"/>
    </row>
    <row r="5" spans="2:9" hidden="1" x14ac:dyDescent="0.2">
      <c r="C5" s="166" t="s">
        <v>120</v>
      </c>
      <c r="D5" s="165"/>
      <c r="E5" s="165"/>
    </row>
    <row r="6" spans="2:9" hidden="1" x14ac:dyDescent="0.2">
      <c r="B6" s="41" t="str">
        <f ca="1">"Ориентировочный сметный расчет в сумме "&amp;TEXT(G83,"# ###,###")&amp;" тыс. руб. (с НДС) "&amp;IF(Снижение!$E$9,"в прогнозных ценах "&amp;Снижение!E9&amp;" года",IF('Расчет стоимости'!$P$11=0,"в базовых ценах","в текущих ценах на "&amp;'Расчет стоимости'!$P$11))</f>
        <v>Ориентировочный сметный расчет в сумме 32 771,727 тыс. руб. (с НДС) в прогнозных ценах 2025 года</v>
      </c>
      <c r="C6" s="165"/>
      <c r="D6" s="165"/>
      <c r="F6" s="675"/>
      <c r="G6" s="675"/>
    </row>
    <row r="7" spans="2:9" ht="12.75" customHeight="1" x14ac:dyDescent="0.2">
      <c r="B7" s="41"/>
      <c r="C7" s="259"/>
      <c r="D7" s="259"/>
      <c r="F7" s="675"/>
      <c r="G7" s="675"/>
    </row>
    <row r="8" spans="2:9" ht="12.75" customHeight="1" x14ac:dyDescent="0.2">
      <c r="C8" s="269"/>
      <c r="D8" s="363"/>
      <c r="E8" s="363"/>
      <c r="F8" s="363"/>
      <c r="G8" s="363"/>
    </row>
    <row r="9" spans="2:9" ht="12.75" customHeight="1" x14ac:dyDescent="0.2">
      <c r="C9" s="165"/>
      <c r="D9" s="676"/>
      <c r="E9" s="676"/>
      <c r="F9" s="676"/>
      <c r="G9" s="676"/>
    </row>
    <row r="10" spans="2:9" x14ac:dyDescent="0.2">
      <c r="B10" s="166"/>
      <c r="C10" s="165"/>
      <c r="D10" s="278"/>
      <c r="E10" s="278"/>
      <c r="F10" s="677"/>
      <c r="G10" s="677"/>
    </row>
    <row r="12" spans="2:9" x14ac:dyDescent="0.2">
      <c r="B12" s="672" t="s">
        <v>258</v>
      </c>
      <c r="C12" s="672"/>
      <c r="D12" s="672"/>
      <c r="E12" s="672"/>
      <c r="F12" s="672"/>
      <c r="G12" s="672"/>
    </row>
    <row r="14" spans="2:9" ht="11.25" customHeight="1" x14ac:dyDescent="0.2">
      <c r="B14" s="673" t="str">
        <f>CONCATENATE('Расчет стоимости'!C5,". ","''",'Расчет стоимости'!C6,"''")</f>
        <v>I_005-51-1-03.13-0007. ''Техническое перевооружение ПС 110/6,6/6,3 кВ «Воргашорская»: замена ОД и КЗ 110 кВ на элегазовые выключатели 110 кВ (2 шт.) г. Воркута Республика Коми''</v>
      </c>
      <c r="C14" s="673"/>
      <c r="D14" s="673"/>
      <c r="E14" s="673"/>
      <c r="F14" s="673"/>
      <c r="G14" s="673"/>
    </row>
    <row r="15" spans="2:9" x14ac:dyDescent="0.2">
      <c r="C15" s="671" t="s">
        <v>7</v>
      </c>
      <c r="D15" s="671"/>
      <c r="E15" s="671"/>
      <c r="F15" s="671"/>
      <c r="G15" s="671"/>
    </row>
    <row r="16" spans="2:9" x14ac:dyDescent="0.2">
      <c r="B16" s="145" t="str">
        <f>CONCATENATE("Составлен в прогнозных ценах года окончания строительства: ",Снижение!$E$9)</f>
        <v>Составлен в прогнозных ценах года окончания строительства: 2025</v>
      </c>
      <c r="C16" s="167"/>
    </row>
    <row r="17" spans="1:10" x14ac:dyDescent="0.2">
      <c r="G17" s="145" t="s">
        <v>119</v>
      </c>
    </row>
    <row r="18" spans="1:10" x14ac:dyDescent="0.2">
      <c r="A18" s="669" t="s">
        <v>14</v>
      </c>
      <c r="B18" s="669" t="s">
        <v>13</v>
      </c>
      <c r="C18" s="669" t="s">
        <v>8</v>
      </c>
      <c r="D18" s="674" t="s">
        <v>196</v>
      </c>
      <c r="E18" s="674"/>
      <c r="F18" s="674"/>
      <c r="G18" s="669" t="s">
        <v>197</v>
      </c>
    </row>
    <row r="19" spans="1:10" ht="38.25" x14ac:dyDescent="0.2">
      <c r="A19" s="669"/>
      <c r="B19" s="669"/>
      <c r="C19" s="669"/>
      <c r="D19" s="168" t="s">
        <v>1097</v>
      </c>
      <c r="E19" s="168" t="s">
        <v>9</v>
      </c>
      <c r="F19" s="168" t="s">
        <v>10</v>
      </c>
      <c r="G19" s="669"/>
    </row>
    <row r="20" spans="1:10" x14ac:dyDescent="0.2">
      <c r="A20" s="169">
        <v>1</v>
      </c>
      <c r="B20" s="169">
        <v>2</v>
      </c>
      <c r="C20" s="169">
        <v>3</v>
      </c>
      <c r="D20" s="169">
        <v>4</v>
      </c>
      <c r="E20" s="169">
        <v>5</v>
      </c>
      <c r="F20" s="169">
        <v>6</v>
      </c>
      <c r="G20" s="169">
        <v>7</v>
      </c>
    </row>
    <row r="21" spans="1:10" x14ac:dyDescent="0.2">
      <c r="A21" s="170"/>
      <c r="B21" s="171" t="s">
        <v>11</v>
      </c>
      <c r="C21" s="172"/>
      <c r="D21" s="173"/>
      <c r="E21" s="173"/>
      <c r="F21" s="173"/>
      <c r="G21" s="173"/>
    </row>
    <row r="22" spans="1:10" hidden="1" x14ac:dyDescent="0.2">
      <c r="A22" s="170"/>
      <c r="B22" s="171"/>
      <c r="C22" s="172" t="s">
        <v>1239</v>
      </c>
      <c r="D22" s="173"/>
      <c r="E22" s="173"/>
      <c r="F22" s="179">
        <f>N('Расчет стоимости'!R20)+N('Расчет стоимости'!R21)</f>
        <v>0</v>
      </c>
      <c r="G22" s="173">
        <f t="shared" ref="G22:G24" si="0">IFERROR(D22+E22+F22,0)</f>
        <v>0</v>
      </c>
    </row>
    <row r="23" spans="1:10" hidden="1" x14ac:dyDescent="0.2">
      <c r="A23" s="170"/>
      <c r="B23" s="171"/>
      <c r="C23" s="172" t="s">
        <v>1260</v>
      </c>
      <c r="D23" s="173"/>
      <c r="E23" s="173"/>
      <c r="F23" s="179">
        <f>N('Расчет стоимости'!R135)+N('Расчет стоимости'!R136)</f>
        <v>0</v>
      </c>
      <c r="G23" s="173">
        <f t="shared" si="0"/>
        <v>0</v>
      </c>
    </row>
    <row r="24" spans="1:10" hidden="1" x14ac:dyDescent="0.2">
      <c r="A24" s="170"/>
      <c r="B24" s="171"/>
      <c r="C24" s="172" t="s">
        <v>948</v>
      </c>
      <c r="D24" s="173"/>
      <c r="E24" s="173"/>
      <c r="F24" s="179">
        <f>N('Расчет стоимости'!R22)+N('Расчет стоимости'!R207)+N('Расчет стоимости'!R208)</f>
        <v>0</v>
      </c>
      <c r="G24" s="173">
        <f t="shared" si="0"/>
        <v>0</v>
      </c>
    </row>
    <row r="25" spans="1:10" hidden="1" x14ac:dyDescent="0.2">
      <c r="A25" s="170"/>
      <c r="B25" s="171"/>
      <c r="C25" s="171" t="s">
        <v>1342</v>
      </c>
      <c r="D25" s="175">
        <f>SUM(D22:D24)</f>
        <v>0</v>
      </c>
      <c r="E25" s="175">
        <f t="shared" ref="E25:F25" si="1">SUM(E22:E24)</f>
        <v>0</v>
      </c>
      <c r="F25" s="175">
        <f t="shared" si="1"/>
        <v>0</v>
      </c>
      <c r="G25" s="175">
        <f t="shared" ref="G25" si="2">IFERROR(D25+E25+F25,0)</f>
        <v>0</v>
      </c>
    </row>
    <row r="26" spans="1:10" hidden="1" x14ac:dyDescent="0.2">
      <c r="A26" s="170"/>
      <c r="B26" s="171" t="s">
        <v>12</v>
      </c>
      <c r="C26" s="172"/>
      <c r="D26" s="173"/>
      <c r="E26" s="173"/>
      <c r="F26" s="173"/>
      <c r="G26" s="173"/>
      <c r="I26" s="164">
        <f ca="1">I47/(1+$H$47)-D41-D35</f>
        <v>0</v>
      </c>
    </row>
    <row r="27" spans="1:10" hidden="1" x14ac:dyDescent="0.2">
      <c r="A27" s="170"/>
      <c r="B27" s="171" t="s">
        <v>312</v>
      </c>
      <c r="C27" s="172"/>
      <c r="D27" s="173"/>
      <c r="E27" s="173"/>
      <c r="F27" s="173"/>
      <c r="G27" s="173"/>
      <c r="I27" s="164">
        <f ca="1">I48/(1+$H$48)-D42-D36</f>
        <v>0</v>
      </c>
    </row>
    <row r="28" spans="1:10" ht="12.75" hidden="1" customHeight="1" x14ac:dyDescent="0.2">
      <c r="A28" s="170"/>
      <c r="B28" s="171" t="s">
        <v>116</v>
      </c>
      <c r="C28" s="172"/>
      <c r="D28" s="173"/>
      <c r="E28" s="173"/>
      <c r="F28" s="173"/>
      <c r="G28" s="173"/>
      <c r="I28" s="164">
        <f ca="1">I49/(1+$H$49)-D43-D37</f>
        <v>3219.3807246376823</v>
      </c>
    </row>
    <row r="29" spans="1:10" ht="12.75" hidden="1" customHeight="1" x14ac:dyDescent="0.2">
      <c r="A29" s="170"/>
      <c r="B29" s="171" t="s">
        <v>117</v>
      </c>
      <c r="C29" s="172"/>
      <c r="D29" s="173"/>
      <c r="E29" s="173"/>
      <c r="F29" s="173"/>
      <c r="G29" s="173"/>
    </row>
    <row r="30" spans="1:10" s="177" customFormat="1" ht="12.75" customHeight="1" x14ac:dyDescent="0.2">
      <c r="A30" s="174"/>
      <c r="B30" s="171"/>
      <c r="C30" s="171" t="s">
        <v>1065</v>
      </c>
      <c r="D30" s="175">
        <f ca="1">SUM(D31:D33)</f>
        <v>3073.5229299595644</v>
      </c>
      <c r="E30" s="175">
        <f ca="1">SUM(E31:E33)</f>
        <v>12543.68247918327</v>
      </c>
      <c r="F30" s="175">
        <f t="shared" ref="F30:G30" si="3">SUM(F31:F33)</f>
        <v>0</v>
      </c>
      <c r="G30" s="175">
        <f t="shared" ca="1" si="3"/>
        <v>15617.205409142834</v>
      </c>
      <c r="H30" s="176"/>
      <c r="I30" s="176"/>
      <c r="J30" s="145"/>
    </row>
    <row r="31" spans="1:10" ht="12.75" hidden="1" customHeight="1" x14ac:dyDescent="0.2">
      <c r="A31" s="170"/>
      <c r="B31" s="171"/>
      <c r="C31" s="172" t="s">
        <v>1240</v>
      </c>
      <c r="D31" s="173">
        <f ca="1">'Расчет стоимости'!T358+'Расчет стоимости'!T359-(D35+D41+D47)+D22</f>
        <v>0</v>
      </c>
      <c r="E31" s="173">
        <f ca="1">'Расчет стоимости'!T364-(E35+E41+E47)+E22</f>
        <v>0</v>
      </c>
      <c r="F31" s="173">
        <f>F22</f>
        <v>0</v>
      </c>
      <c r="G31" s="173">
        <f ca="1">SUM(D31:F31)</f>
        <v>0</v>
      </c>
    </row>
    <row r="32" spans="1:10" ht="12.75" hidden="1" customHeight="1" x14ac:dyDescent="0.2">
      <c r="A32" s="170"/>
      <c r="B32" s="171"/>
      <c r="C32" s="172" t="s">
        <v>1241</v>
      </c>
      <c r="D32" s="173">
        <f ca="1">'Расчет стоимости'!T360+'Расчет стоимости'!T361-(D36+D42+D48)+D23</f>
        <v>0</v>
      </c>
      <c r="E32" s="173">
        <f ca="1">'Расчет стоимости'!T365-(E36+E42+E48)+E23</f>
        <v>0</v>
      </c>
      <c r="F32" s="173">
        <f t="shared" ref="F32:F33" si="4">F23</f>
        <v>0</v>
      </c>
      <c r="G32" s="173">
        <f t="shared" ref="G32:G33" ca="1" si="5">SUM(D32:F32)</f>
        <v>0</v>
      </c>
    </row>
    <row r="33" spans="1:10" ht="12.75" customHeight="1" x14ac:dyDescent="0.2">
      <c r="A33" s="170"/>
      <c r="B33" s="171"/>
      <c r="C33" s="172" t="s">
        <v>1242</v>
      </c>
      <c r="D33" s="173">
        <f ca="1">'Расчет стоимости'!T362+'Расчет стоимости'!T363-(D37+D43+D49)+D24</f>
        <v>3073.5229299595644</v>
      </c>
      <c r="E33" s="173">
        <f ca="1">'Расчет стоимости'!T366-(E37+E43+E49)+E24</f>
        <v>12543.68247918327</v>
      </c>
      <c r="F33" s="173">
        <f t="shared" si="4"/>
        <v>0</v>
      </c>
      <c r="G33" s="173">
        <f t="shared" ca="1" si="5"/>
        <v>15617.205409142834</v>
      </c>
    </row>
    <row r="34" spans="1:10" x14ac:dyDescent="0.2">
      <c r="A34" s="170"/>
      <c r="B34" s="171" t="s">
        <v>118</v>
      </c>
      <c r="C34" s="172"/>
      <c r="D34" s="173"/>
      <c r="E34" s="173"/>
      <c r="F34" s="173"/>
      <c r="G34" s="173"/>
    </row>
    <row r="35" spans="1:10" hidden="1" x14ac:dyDescent="0.2">
      <c r="A35" s="170"/>
      <c r="B35" s="172" t="s">
        <v>115</v>
      </c>
      <c r="C35" s="172" t="s">
        <v>1087</v>
      </c>
      <c r="D35" s="179">
        <f ca="1">ROUND('Расчет стоимости'!R104*MAX('Расчет стоимости'!M398:M401),2)</f>
        <v>0</v>
      </c>
      <c r="E35" s="173"/>
      <c r="F35" s="173"/>
      <c r="G35" s="173">
        <f ca="1">IFERROR(D35+E35+F35,0)</f>
        <v>0</v>
      </c>
    </row>
    <row r="36" spans="1:10" hidden="1" x14ac:dyDescent="0.2">
      <c r="A36" s="170"/>
      <c r="B36" s="172" t="s">
        <v>115</v>
      </c>
      <c r="C36" s="172" t="s">
        <v>1088</v>
      </c>
      <c r="D36" s="179">
        <f ca="1">ROUND('Расчет стоимости'!R182*MAX('Расчет стоимости'!M402:M405),2)</f>
        <v>0</v>
      </c>
      <c r="E36" s="173"/>
      <c r="F36" s="173"/>
      <c r="G36" s="173">
        <f t="shared" ref="G36:G39" ca="1" si="6">IFERROR(D36+E36+F36,0)</f>
        <v>0</v>
      </c>
    </row>
    <row r="37" spans="1:10" x14ac:dyDescent="0.2">
      <c r="A37" s="170"/>
      <c r="B37" s="172" t="s">
        <v>115</v>
      </c>
      <c r="C37" s="172" t="s">
        <v>1089</v>
      </c>
      <c r="D37" s="179">
        <f ca="1">ROUND('Расчет стоимости'!R300*'Расчет стоимости'!M407,2)</f>
        <v>2303.11</v>
      </c>
      <c r="E37" s="173"/>
      <c r="F37" s="173"/>
      <c r="G37" s="173">
        <f t="shared" ca="1" si="6"/>
        <v>2303.11</v>
      </c>
    </row>
    <row r="38" spans="1:10" s="177" customFormat="1" x14ac:dyDescent="0.2">
      <c r="A38" s="174"/>
      <c r="B38" s="171"/>
      <c r="C38" s="171" t="s">
        <v>15</v>
      </c>
      <c r="D38" s="175">
        <f ca="1">SUM(D35:D37)</f>
        <v>2303.11</v>
      </c>
      <c r="E38" s="175">
        <f t="shared" ref="E38:F38" si="7">SUM(E35:E37)</f>
        <v>0</v>
      </c>
      <c r="F38" s="175">
        <f t="shared" si="7"/>
        <v>0</v>
      </c>
      <c r="G38" s="175">
        <f t="shared" ca="1" si="6"/>
        <v>2303.11</v>
      </c>
      <c r="H38" s="176"/>
      <c r="I38" s="176"/>
    </row>
    <row r="39" spans="1:10" s="177" customFormat="1" x14ac:dyDescent="0.2">
      <c r="A39" s="174"/>
      <c r="B39" s="171"/>
      <c r="C39" s="171" t="s">
        <v>16</v>
      </c>
      <c r="D39" s="175">
        <f ca="1">D30+D38</f>
        <v>5376.6329299595645</v>
      </c>
      <c r="E39" s="175">
        <f ca="1">E30+E38</f>
        <v>12543.68247918327</v>
      </c>
      <c r="F39" s="175">
        <f>F30+F38</f>
        <v>0</v>
      </c>
      <c r="G39" s="175">
        <f t="shared" ca="1" si="6"/>
        <v>17920.315409142833</v>
      </c>
      <c r="H39" s="176"/>
      <c r="I39" s="176"/>
    </row>
    <row r="40" spans="1:10" x14ac:dyDescent="0.2">
      <c r="A40" s="170"/>
      <c r="B40" s="171" t="s">
        <v>19</v>
      </c>
      <c r="C40" s="172"/>
      <c r="D40" s="173"/>
      <c r="E40" s="173"/>
      <c r="F40" s="173"/>
      <c r="G40" s="173"/>
    </row>
    <row r="41" spans="1:10" hidden="1" x14ac:dyDescent="0.2">
      <c r="A41" s="170"/>
      <c r="B41" s="178" t="s">
        <v>316</v>
      </c>
      <c r="C41" s="172" t="s">
        <v>1090</v>
      </c>
      <c r="D41" s="179">
        <f ca="1">ROUND('Расчет стоимости'!R105*MAX('Расчет стоимости'!M398:M401),2)</f>
        <v>0</v>
      </c>
      <c r="E41" s="173"/>
      <c r="F41" s="173"/>
      <c r="G41" s="173">
        <f t="shared" ref="G41:G45" ca="1" si="8">IFERROR(D41+E41+F41,0)</f>
        <v>0</v>
      </c>
    </row>
    <row r="42" spans="1:10" hidden="1" x14ac:dyDescent="0.2">
      <c r="A42" s="170"/>
      <c r="B42" s="178" t="s">
        <v>316</v>
      </c>
      <c r="C42" s="172" t="s">
        <v>1091</v>
      </c>
      <c r="D42" s="179">
        <f ca="1">ROUND('Расчет стоимости'!R183*MAX('Расчет стоимости'!M402:M405),2)</f>
        <v>0</v>
      </c>
      <c r="E42" s="173"/>
      <c r="F42" s="173"/>
      <c r="G42" s="173">
        <f t="shared" ca="1" si="8"/>
        <v>0</v>
      </c>
    </row>
    <row r="43" spans="1:10" x14ac:dyDescent="0.2">
      <c r="A43" s="170"/>
      <c r="B43" s="178" t="s">
        <v>316</v>
      </c>
      <c r="C43" s="172" t="s">
        <v>1092</v>
      </c>
      <c r="D43" s="179">
        <f ca="1">ROUND('Расчет стоимости'!R301*'Расчет стоимости'!M407,2)</f>
        <v>998.06</v>
      </c>
      <c r="E43" s="173"/>
      <c r="F43" s="173"/>
      <c r="G43" s="173">
        <f t="shared" ca="1" si="8"/>
        <v>998.06</v>
      </c>
    </row>
    <row r="44" spans="1:10" s="177" customFormat="1" x14ac:dyDescent="0.2">
      <c r="A44" s="174"/>
      <c r="B44" s="171"/>
      <c r="C44" s="171" t="s">
        <v>17</v>
      </c>
      <c r="D44" s="175">
        <f ca="1">SUM(D41:D43)</f>
        <v>998.06</v>
      </c>
      <c r="E44" s="175">
        <f>SUM(E41:E43)</f>
        <v>0</v>
      </c>
      <c r="F44" s="175">
        <f>SUM(F41:F43)</f>
        <v>0</v>
      </c>
      <c r="G44" s="175">
        <f t="shared" ca="1" si="8"/>
        <v>998.06</v>
      </c>
      <c r="H44" s="176"/>
      <c r="I44" s="176"/>
    </row>
    <row r="45" spans="1:10" s="177" customFormat="1" x14ac:dyDescent="0.2">
      <c r="A45" s="174"/>
      <c r="B45" s="171"/>
      <c r="C45" s="171" t="s">
        <v>18</v>
      </c>
      <c r="D45" s="175">
        <f ca="1">D39+D44</f>
        <v>6374.6929299595649</v>
      </c>
      <c r="E45" s="175">
        <f ca="1">E39+E44</f>
        <v>12543.68247918327</v>
      </c>
      <c r="F45" s="175">
        <f>F39+F44</f>
        <v>0</v>
      </c>
      <c r="G45" s="175">
        <f t="shared" ca="1" si="8"/>
        <v>18918.375409142835</v>
      </c>
      <c r="H45" s="176"/>
      <c r="I45" s="176"/>
    </row>
    <row r="46" spans="1:10" s="177" customFormat="1" x14ac:dyDescent="0.2">
      <c r="A46" s="174"/>
      <c r="B46" s="171" t="s">
        <v>20</v>
      </c>
      <c r="C46" s="171"/>
      <c r="D46" s="175"/>
      <c r="E46" s="175"/>
      <c r="F46" s="175"/>
      <c r="G46" s="175"/>
      <c r="H46" s="176"/>
      <c r="I46" s="176"/>
    </row>
    <row r="47" spans="1:10" hidden="1" x14ac:dyDescent="0.2">
      <c r="A47" s="170"/>
      <c r="B47" s="172"/>
      <c r="C47" s="172" t="s">
        <v>1093</v>
      </c>
      <c r="D47" s="173">
        <f ca="1">ROUND((I26+D35+D41)*H47,2)</f>
        <v>0</v>
      </c>
      <c r="E47" s="173"/>
      <c r="F47" s="173"/>
      <c r="G47" s="173">
        <f t="shared" ref="G47:G57" ca="1" si="9">IFERROR(D47+E47+F47,0)</f>
        <v>0</v>
      </c>
      <c r="H47" s="164">
        <f>IFERROR(VLOOKUP('Расчет стоимости'!$C$11,Регионы!$B$6:$Q$91,Регионы!$J$3,FALSE)*VLOOKUP('Расчет стоимости'!$C$11,Регионы!$B$6:$Q$91,Регионы!$O$3,FALSE)+VLOOKUP('Расчет стоимости'!$C$11,Регионы!$B$6:$Q$91,Регионы!$Q$3,FALSE),0)</f>
        <v>1.6E-2</v>
      </c>
      <c r="I47" s="211">
        <f ca="1">('Расчет стоимости'!$P$358+'Расчет стоимости'!$P$362+'Расчет стоимости'!$P$359)</f>
        <v>0</v>
      </c>
      <c r="J47" s="177"/>
    </row>
    <row r="48" spans="1:10" hidden="1" x14ac:dyDescent="0.2">
      <c r="A48" s="170"/>
      <c r="B48" s="172"/>
      <c r="C48" s="172" t="s">
        <v>1094</v>
      </c>
      <c r="D48" s="173">
        <f ca="1">ROUND((I27+D36+D42)*H48,2)</f>
        <v>0</v>
      </c>
      <c r="E48" s="173"/>
      <c r="F48" s="173"/>
      <c r="G48" s="173">
        <f t="shared" ca="1" si="9"/>
        <v>0</v>
      </c>
      <c r="H48" s="164">
        <f>IFERROR(VLOOKUP('Расчет стоимости'!$C$11,Регионы!$B$6:$Q$91,Регионы!$K$3,FALSE)*VLOOKUP('Расчет стоимости'!$C$11,Регионы!$B$6:$Q$91,Регионы!$N$3,FALSE)+VLOOKUP('Расчет стоимости'!$C$11,Регионы!$B$6:$Q$91,Регионы!$Q$3,FALSE),0)</f>
        <v>3.2000000000000001E-2</v>
      </c>
      <c r="I48" s="211">
        <f ca="1">('Расчет стоимости'!$P$360+'Расчет стоимости'!$P$361)</f>
        <v>0</v>
      </c>
      <c r="J48" s="177"/>
    </row>
    <row r="49" spans="1:10" x14ac:dyDescent="0.2">
      <c r="A49" s="170"/>
      <c r="B49" s="172"/>
      <c r="C49" s="172" t="s">
        <v>1095</v>
      </c>
      <c r="D49" s="173">
        <f ca="1">ROUND((I28+D37+D43)*H49,2)</f>
        <v>228.22</v>
      </c>
      <c r="E49" s="173"/>
      <c r="F49" s="173"/>
      <c r="G49" s="173">
        <f t="shared" ca="1" si="9"/>
        <v>228.22</v>
      </c>
      <c r="H49" s="164">
        <f>IFERROR(VLOOKUP('Расчет стоимости'!$C$11,Регионы!$B$6:$Q$91,Регионы!$I$3,FALSE)*VLOOKUP('Расчет стоимости'!$C$11,Регионы!$B$6:$Q$91,Регионы!$M$3,FALSE)+VLOOKUP('Расчет стоимости'!$C$11,Регионы!$B$6:$Q$91,Регионы!$Q$3,FALSE),0)</f>
        <v>3.5000000000000003E-2</v>
      </c>
      <c r="I49" s="211">
        <f ca="1">('Расчет стоимости'!$P$363)</f>
        <v>6748.77</v>
      </c>
      <c r="J49" s="177"/>
    </row>
    <row r="50" spans="1:10" hidden="1" x14ac:dyDescent="0.2">
      <c r="A50" s="170"/>
      <c r="B50" s="172" t="s">
        <v>115</v>
      </c>
      <c r="C50" s="172" t="s">
        <v>1083</v>
      </c>
      <c r="D50" s="173"/>
      <c r="E50" s="173"/>
      <c r="F50" s="173">
        <f ca="1">'Расчет стоимости'!T367</f>
        <v>0</v>
      </c>
      <c r="G50" s="173">
        <f t="shared" ca="1" si="9"/>
        <v>0</v>
      </c>
    </row>
    <row r="51" spans="1:10" hidden="1" x14ac:dyDescent="0.2">
      <c r="A51" s="170"/>
      <c r="B51" s="172" t="s">
        <v>115</v>
      </c>
      <c r="C51" s="172" t="s">
        <v>1084</v>
      </c>
      <c r="D51" s="173"/>
      <c r="E51" s="173"/>
      <c r="F51" s="173">
        <f ca="1">'Расчет стоимости'!T368</f>
        <v>0</v>
      </c>
      <c r="G51" s="173">
        <f t="shared" ca="1" si="9"/>
        <v>0</v>
      </c>
    </row>
    <row r="52" spans="1:10" x14ac:dyDescent="0.2">
      <c r="A52" s="170"/>
      <c r="B52" s="178" t="s">
        <v>115</v>
      </c>
      <c r="C52" s="172" t="s">
        <v>1085</v>
      </c>
      <c r="D52" s="173"/>
      <c r="E52" s="173"/>
      <c r="F52" s="173">
        <f ca="1">'Расчет стоимости'!T369</f>
        <v>2771.2731127273805</v>
      </c>
      <c r="G52" s="173">
        <f t="shared" ca="1" si="9"/>
        <v>2771.2731127273805</v>
      </c>
    </row>
    <row r="53" spans="1:10" hidden="1" x14ac:dyDescent="0.2">
      <c r="A53" s="170"/>
      <c r="B53" s="172" t="s">
        <v>115</v>
      </c>
      <c r="C53" s="172" t="s">
        <v>1243</v>
      </c>
      <c r="D53" s="173"/>
      <c r="E53" s="173"/>
      <c r="F53" s="173">
        <f ca="1">'Расчет стоимости'!T370-F59-F22</f>
        <v>0</v>
      </c>
      <c r="G53" s="173">
        <f t="shared" ca="1" si="9"/>
        <v>0</v>
      </c>
    </row>
    <row r="54" spans="1:10" hidden="1" x14ac:dyDescent="0.2">
      <c r="A54" s="170"/>
      <c r="B54" s="172" t="s">
        <v>115</v>
      </c>
      <c r="C54" s="172" t="s">
        <v>1244</v>
      </c>
      <c r="D54" s="173"/>
      <c r="E54" s="173"/>
      <c r="F54" s="173">
        <f ca="1">'Расчет стоимости'!T371-F60-F23</f>
        <v>0</v>
      </c>
      <c r="G54" s="173">
        <f t="shared" ca="1" si="9"/>
        <v>0</v>
      </c>
    </row>
    <row r="55" spans="1:10" x14ac:dyDescent="0.2">
      <c r="A55" s="170"/>
      <c r="B55" s="172" t="s">
        <v>115</v>
      </c>
      <c r="C55" s="172" t="s">
        <v>1245</v>
      </c>
      <c r="D55" s="173"/>
      <c r="E55" s="173"/>
      <c r="F55" s="173">
        <f ca="1">'Расчет стоимости'!T372-F61-F24</f>
        <v>2743.9187145807173</v>
      </c>
      <c r="G55" s="173">
        <f t="shared" ca="1" si="9"/>
        <v>2743.9187145807173</v>
      </c>
    </row>
    <row r="56" spans="1:10" s="177" customFormat="1" x14ac:dyDescent="0.2">
      <c r="A56" s="174"/>
      <c r="B56" s="171"/>
      <c r="C56" s="171" t="s">
        <v>1096</v>
      </c>
      <c r="D56" s="175">
        <f t="shared" ref="D56:E56" ca="1" si="10">SUM(D47:D55)</f>
        <v>228.22</v>
      </c>
      <c r="E56" s="175">
        <f t="shared" si="10"/>
        <v>0</v>
      </c>
      <c r="F56" s="175">
        <f ca="1">SUM(F47:F55)</f>
        <v>5515.1918273080973</v>
      </c>
      <c r="G56" s="175">
        <f t="shared" ca="1" si="9"/>
        <v>5743.4118273080976</v>
      </c>
      <c r="H56" s="176"/>
      <c r="I56" s="176"/>
    </row>
    <row r="57" spans="1:10" s="177" customFormat="1" x14ac:dyDescent="0.2">
      <c r="A57" s="174"/>
      <c r="B57" s="171"/>
      <c r="C57" s="171" t="s">
        <v>317</v>
      </c>
      <c r="D57" s="175">
        <f ca="1">D45+D56</f>
        <v>6602.9129299595652</v>
      </c>
      <c r="E57" s="175">
        <f ca="1">E45+E56</f>
        <v>12543.68247918327</v>
      </c>
      <c r="F57" s="175">
        <f ca="1">F45+F56</f>
        <v>5515.1918273080973</v>
      </c>
      <c r="G57" s="175">
        <f t="shared" ca="1" si="9"/>
        <v>24661.787236450931</v>
      </c>
      <c r="H57" s="176"/>
      <c r="I57" s="176"/>
    </row>
    <row r="58" spans="1:10" s="177" customFormat="1" x14ac:dyDescent="0.2">
      <c r="A58" s="174"/>
      <c r="B58" s="171" t="s">
        <v>21</v>
      </c>
      <c r="C58" s="171"/>
      <c r="D58" s="175"/>
      <c r="E58" s="175"/>
      <c r="F58" s="175"/>
      <c r="G58" s="175"/>
      <c r="H58" s="176"/>
      <c r="I58" s="176"/>
    </row>
    <row r="59" spans="1:10" hidden="1" x14ac:dyDescent="0.2">
      <c r="A59" s="170"/>
      <c r="B59" s="178"/>
      <c r="C59" s="172" t="s">
        <v>1240</v>
      </c>
      <c r="D59" s="173"/>
      <c r="E59" s="173"/>
      <c r="F59" s="179">
        <f ca="1">ROUND('Расчет стоимости'!R107*'Расчет стоимости'!$W$397,2)</f>
        <v>0</v>
      </c>
      <c r="G59" s="173">
        <f t="shared" ref="G59:G63" ca="1" si="11">IFERROR(D59+E59+F59,0)</f>
        <v>0</v>
      </c>
    </row>
    <row r="60" spans="1:10" hidden="1" x14ac:dyDescent="0.2">
      <c r="A60" s="170"/>
      <c r="B60" s="178"/>
      <c r="C60" s="172" t="s">
        <v>1241</v>
      </c>
      <c r="D60" s="173"/>
      <c r="E60" s="173"/>
      <c r="F60" s="179">
        <f ca="1">ROUND('Расчет стоимости'!R185*'Расчет стоимости'!$W$397,2)</f>
        <v>0</v>
      </c>
      <c r="G60" s="173">
        <f t="shared" ca="1" si="11"/>
        <v>0</v>
      </c>
    </row>
    <row r="61" spans="1:10" x14ac:dyDescent="0.2">
      <c r="A61" s="170"/>
      <c r="B61" s="178"/>
      <c r="C61" s="172" t="s">
        <v>1242</v>
      </c>
      <c r="D61" s="173"/>
      <c r="E61" s="173"/>
      <c r="F61" s="179">
        <f ca="1">ROUND('Расчет стоимости'!R303*'Расчет стоимости'!$W$397,2)</f>
        <v>965.09</v>
      </c>
      <c r="G61" s="173">
        <f t="shared" ca="1" si="11"/>
        <v>965.09</v>
      </c>
    </row>
    <row r="62" spans="1:10" s="177" customFormat="1" x14ac:dyDescent="0.2">
      <c r="A62" s="174"/>
      <c r="B62" s="171"/>
      <c r="C62" s="171" t="s">
        <v>23</v>
      </c>
      <c r="D62" s="175"/>
      <c r="E62" s="175"/>
      <c r="F62" s="175">
        <f ca="1">SUM(F59:F61)</f>
        <v>965.09</v>
      </c>
      <c r="G62" s="175">
        <f t="shared" ca="1" si="11"/>
        <v>965.09</v>
      </c>
      <c r="H62" s="176"/>
      <c r="I62" s="176"/>
    </row>
    <row r="63" spans="1:10" s="177" customFormat="1" x14ac:dyDescent="0.2">
      <c r="A63" s="174"/>
      <c r="B63" s="171"/>
      <c r="C63" s="171" t="s">
        <v>1086</v>
      </c>
      <c r="D63" s="175">
        <f ca="1">D57+D62</f>
        <v>6602.9129299595652</v>
      </c>
      <c r="E63" s="175">
        <f ca="1">E57+E62</f>
        <v>12543.68247918327</v>
      </c>
      <c r="F63" s="175">
        <f ca="1">F57+F62</f>
        <v>6480.2818273080975</v>
      </c>
      <c r="G63" s="175">
        <f t="shared" ca="1" si="11"/>
        <v>25626.877236450935</v>
      </c>
      <c r="H63" s="176"/>
      <c r="I63" s="176"/>
    </row>
    <row r="64" spans="1:10" s="177" customFormat="1" hidden="1" x14ac:dyDescent="0.2">
      <c r="A64" s="174"/>
      <c r="B64" s="171" t="s">
        <v>22</v>
      </c>
      <c r="C64" s="171"/>
      <c r="D64" s="175"/>
      <c r="E64" s="175"/>
      <c r="F64" s="175"/>
      <c r="G64" s="175"/>
      <c r="H64" s="176"/>
      <c r="I64" s="176"/>
    </row>
    <row r="65" spans="1:14" s="177" customFormat="1" hidden="1" x14ac:dyDescent="0.2">
      <c r="A65" s="174"/>
      <c r="B65" s="171" t="s">
        <v>115</v>
      </c>
      <c r="C65" s="171"/>
      <c r="D65" s="175"/>
      <c r="E65" s="175"/>
      <c r="F65" s="175"/>
      <c r="G65" s="175">
        <f>IFERROR(D65+#REF!+E65+F65,0)</f>
        <v>0</v>
      </c>
      <c r="H65" s="176"/>
      <c r="I65" s="176"/>
    </row>
    <row r="66" spans="1:14" s="177" customFormat="1" hidden="1" x14ac:dyDescent="0.2">
      <c r="A66" s="174"/>
      <c r="B66" s="171"/>
      <c r="C66" s="171" t="s">
        <v>313</v>
      </c>
      <c r="D66" s="175"/>
      <c r="E66" s="175"/>
      <c r="F66" s="175">
        <f t="shared" ref="F66" si="12">SUM(F65)</f>
        <v>0</v>
      </c>
      <c r="G66" s="175">
        <f>IFERROR(D66+#REF!+E66+F66,0)</f>
        <v>0</v>
      </c>
      <c r="H66" s="176"/>
      <c r="I66" s="176"/>
    </row>
    <row r="67" spans="1:14" s="177" customFormat="1" x14ac:dyDescent="0.2">
      <c r="A67" s="174"/>
      <c r="B67" s="171" t="s">
        <v>24</v>
      </c>
      <c r="C67" s="171"/>
      <c r="D67" s="175"/>
      <c r="E67" s="175"/>
      <c r="F67" s="175"/>
      <c r="G67" s="175"/>
      <c r="H67" s="176"/>
      <c r="I67" s="176"/>
    </row>
    <row r="68" spans="1:14" hidden="1" x14ac:dyDescent="0.2">
      <c r="A68" s="170"/>
      <c r="B68" s="172"/>
      <c r="C68" s="172" t="s">
        <v>1081</v>
      </c>
      <c r="D68" s="173"/>
      <c r="E68" s="173"/>
      <c r="F68" s="173">
        <f ca="1">'Расчет стоимости'!T355</f>
        <v>0</v>
      </c>
      <c r="G68" s="173">
        <f t="shared" ref="G68:G75" ca="1" si="13">IFERROR(D68+E68+F68,0)</f>
        <v>0</v>
      </c>
    </row>
    <row r="69" spans="1:14" hidden="1" x14ac:dyDescent="0.2">
      <c r="A69" s="170"/>
      <c r="B69" s="178"/>
      <c r="C69" s="178" t="s">
        <v>1336</v>
      </c>
      <c r="D69" s="173"/>
      <c r="E69" s="173"/>
      <c r="F69" s="173">
        <f ca="1">'Расчет стоимости'!T356</f>
        <v>0</v>
      </c>
      <c r="G69" s="173">
        <f t="shared" ca="1" si="13"/>
        <v>0</v>
      </c>
    </row>
    <row r="70" spans="1:14" x14ac:dyDescent="0.2">
      <c r="A70" s="170"/>
      <c r="B70" s="172"/>
      <c r="C70" s="172" t="s">
        <v>1082</v>
      </c>
      <c r="D70" s="173"/>
      <c r="E70" s="173"/>
      <c r="F70" s="173">
        <f ca="1">'Расчет стоимости'!T357</f>
        <v>1545.5295510247386</v>
      </c>
      <c r="G70" s="173">
        <f t="shared" ca="1" si="13"/>
        <v>1545.5295510247386</v>
      </c>
    </row>
    <row r="71" spans="1:14" x14ac:dyDescent="0.2">
      <c r="A71" s="170"/>
      <c r="B71" s="172"/>
      <c r="C71" s="172" t="s">
        <v>25</v>
      </c>
      <c r="D71" s="173"/>
      <c r="E71" s="173"/>
      <c r="F71" s="173">
        <f ca="1">F68+F69+F70</f>
        <v>1545.5295510247386</v>
      </c>
      <c r="G71" s="173">
        <f t="shared" ca="1" si="13"/>
        <v>1545.5295510247386</v>
      </c>
    </row>
    <row r="72" spans="1:14" s="177" customFormat="1" x14ac:dyDescent="0.2">
      <c r="A72" s="174"/>
      <c r="B72" s="171"/>
      <c r="C72" s="171" t="s">
        <v>26</v>
      </c>
      <c r="D72" s="175">
        <f ca="1">D63+D71</f>
        <v>6602.9129299595652</v>
      </c>
      <c r="E72" s="175">
        <f ca="1">E63+E71</f>
        <v>12543.68247918327</v>
      </c>
      <c r="F72" s="175">
        <f ca="1">F63+F71</f>
        <v>8025.8113783328363</v>
      </c>
      <c r="G72" s="175">
        <f t="shared" ca="1" si="13"/>
        <v>27172.406787475673</v>
      </c>
      <c r="H72" s="176"/>
      <c r="I72" s="176"/>
      <c r="J72" s="145"/>
      <c r="K72" s="145"/>
      <c r="L72" s="145"/>
      <c r="M72" s="145"/>
      <c r="N72" s="145"/>
    </row>
    <row r="73" spans="1:14" ht="12.75" hidden="1" customHeight="1" x14ac:dyDescent="0.2">
      <c r="A73" s="170"/>
      <c r="B73" s="171"/>
      <c r="C73" s="172" t="s">
        <v>1240</v>
      </c>
      <c r="D73" s="173">
        <f t="shared" ref="D73:F75" ca="1" si="14">D31+D35+D41+D47+D50+D53+D59+D68</f>
        <v>0</v>
      </c>
      <c r="E73" s="173">
        <f t="shared" ca="1" si="14"/>
        <v>0</v>
      </c>
      <c r="F73" s="173">
        <f t="shared" ca="1" si="14"/>
        <v>0</v>
      </c>
      <c r="G73" s="173">
        <f t="shared" ca="1" si="13"/>
        <v>0</v>
      </c>
    </row>
    <row r="74" spans="1:14" ht="12.75" hidden="1" customHeight="1" x14ac:dyDescent="0.2">
      <c r="A74" s="170"/>
      <c r="B74" s="171"/>
      <c r="C74" s="172" t="s">
        <v>1241</v>
      </c>
      <c r="D74" s="173">
        <f t="shared" ca="1" si="14"/>
        <v>0</v>
      </c>
      <c r="E74" s="173">
        <f t="shared" ca="1" si="14"/>
        <v>0</v>
      </c>
      <c r="F74" s="173">
        <f t="shared" ca="1" si="14"/>
        <v>0</v>
      </c>
      <c r="G74" s="173">
        <f t="shared" ca="1" si="13"/>
        <v>0</v>
      </c>
    </row>
    <row r="75" spans="1:14" ht="12.75" customHeight="1" x14ac:dyDescent="0.2">
      <c r="A75" s="170"/>
      <c r="B75" s="171"/>
      <c r="C75" s="172" t="s">
        <v>1242</v>
      </c>
      <c r="D75" s="173">
        <f t="shared" ca="1" si="14"/>
        <v>6602.9129299595652</v>
      </c>
      <c r="E75" s="173">
        <f t="shared" ca="1" si="14"/>
        <v>12543.68247918327</v>
      </c>
      <c r="F75" s="173">
        <f t="shared" ca="1" si="14"/>
        <v>8025.8113783328363</v>
      </c>
      <c r="G75" s="173">
        <f t="shared" ca="1" si="13"/>
        <v>27172.406787475673</v>
      </c>
    </row>
    <row r="76" spans="1:14" s="177" customFormat="1" x14ac:dyDescent="0.2">
      <c r="A76" s="174"/>
      <c r="B76" s="171" t="s">
        <v>1237</v>
      </c>
      <c r="C76" s="171"/>
      <c r="D76" s="175"/>
      <c r="E76" s="175"/>
      <c r="F76" s="175"/>
      <c r="G76" s="175"/>
      <c r="H76" s="176"/>
      <c r="I76" s="176"/>
      <c r="J76" s="145"/>
      <c r="K76" s="145"/>
      <c r="L76" s="145"/>
      <c r="M76" s="145"/>
      <c r="N76" s="145"/>
    </row>
    <row r="77" spans="1:14" ht="63.75" x14ac:dyDescent="0.2">
      <c r="A77" s="170"/>
      <c r="B77" s="178" t="s">
        <v>1238</v>
      </c>
      <c r="C77" s="214" t="str">
        <f>"Непредвиденные работы и затраты  - "&amp;'Расчет стоимости'!$P$12*100&amp;"%"&amp;" к основным затратам"</f>
        <v>Непредвиденные работы и затраты  - 3% к основным затратам</v>
      </c>
      <c r="D77" s="179">
        <f ca="1">IF($G$72,ROUND($G77*D72/$G72,2),0)</f>
        <v>145.86000000000001</v>
      </c>
      <c r="E77" s="179">
        <f t="shared" ref="E77:F77" ca="1" si="15">IF($G$72,ROUND($G77*E72/$G72,2),0)</f>
        <v>277.08999999999997</v>
      </c>
      <c r="F77" s="179">
        <f t="shared" ca="1" si="15"/>
        <v>177.29</v>
      </c>
      <c r="G77" s="173">
        <f ca="1">ROUND('Расчет стоимости'!T354*'Расчет стоимости'!T353,2)</f>
        <v>600.23</v>
      </c>
    </row>
    <row r="78" spans="1:14" s="177" customFormat="1" x14ac:dyDescent="0.2">
      <c r="A78" s="174"/>
      <c r="B78" s="180" t="str">
        <f>CONCATENATE("Итого с ""Непредвиденными затратами"" в прогнозных ценах на ",IF(Снижение!E9,Снижение!E9,"____")," год")</f>
        <v>Итого с "Непредвиденными затратами" в прогнозных ценах на 2025 год</v>
      </c>
      <c r="C78" s="171"/>
      <c r="D78" s="175">
        <f ca="1">D72+D77</f>
        <v>6748.7729299595649</v>
      </c>
      <c r="E78" s="175">
        <f ca="1">E72+E77</f>
        <v>12820.77247918327</v>
      </c>
      <c r="F78" s="175">
        <f ca="1">F72+F77</f>
        <v>8203.1013783328362</v>
      </c>
      <c r="G78" s="175">
        <f ca="1">IFERROR(D78+E78+F78,0)</f>
        <v>27772.646787475671</v>
      </c>
      <c r="H78" s="176"/>
      <c r="I78" s="176"/>
      <c r="J78" s="145"/>
      <c r="K78" s="145"/>
      <c r="L78" s="145"/>
      <c r="M78" s="145"/>
      <c r="N78" s="145"/>
    </row>
    <row r="79" spans="1:14" s="177" customFormat="1" hidden="1" x14ac:dyDescent="0.2">
      <c r="A79" s="174"/>
      <c r="B79" s="171"/>
      <c r="C79" s="171" t="s">
        <v>195</v>
      </c>
      <c r="D79" s="175"/>
      <c r="E79" s="175"/>
      <c r="F79" s="175" t="e">
        <f>ROUND(#REF!*(1+#REF!/100),2)</f>
        <v>#REF!</v>
      </c>
      <c r="G79" s="175"/>
      <c r="H79" s="176"/>
      <c r="I79" s="176"/>
      <c r="J79" s="145"/>
      <c r="K79" s="145"/>
      <c r="L79" s="145"/>
      <c r="M79" s="145"/>
      <c r="N79" s="145"/>
    </row>
    <row r="80" spans="1:14" s="177" customFormat="1" hidden="1" x14ac:dyDescent="0.2">
      <c r="A80" s="174"/>
      <c r="B80" s="171"/>
      <c r="C80" s="171"/>
      <c r="D80" s="175"/>
      <c r="E80" s="175"/>
      <c r="F80" s="175"/>
      <c r="G80" s="175"/>
      <c r="H80" s="176"/>
      <c r="I80" s="176"/>
      <c r="J80" s="145"/>
      <c r="K80" s="145"/>
      <c r="L80" s="145"/>
      <c r="M80" s="145"/>
      <c r="N80" s="145"/>
    </row>
    <row r="81" spans="1:14" s="177" customFormat="1" x14ac:dyDescent="0.2">
      <c r="A81" s="174"/>
      <c r="B81" s="171" t="s">
        <v>27</v>
      </c>
      <c r="C81" s="171"/>
      <c r="D81" s="175"/>
      <c r="E81" s="175"/>
      <c r="F81" s="175"/>
      <c r="G81" s="175"/>
      <c r="H81" s="176"/>
      <c r="I81" s="176"/>
      <c r="J81" s="145"/>
      <c r="K81" s="145"/>
      <c r="L81" s="145"/>
      <c r="M81" s="145"/>
      <c r="N81" s="145"/>
    </row>
    <row r="82" spans="1:14" x14ac:dyDescent="0.2">
      <c r="A82" s="170"/>
      <c r="B82" s="172" t="s">
        <v>28</v>
      </c>
      <c r="C82" s="172" t="s">
        <v>29</v>
      </c>
      <c r="D82" s="173">
        <f ca="1">ROUND(D78*0.18,2)</f>
        <v>1214.78</v>
      </c>
      <c r="E82" s="173">
        <f t="shared" ref="E82:F82" ca="1" si="16">ROUND(E78*0.18,2)</f>
        <v>2307.7399999999998</v>
      </c>
      <c r="F82" s="173">
        <f t="shared" ca="1" si="16"/>
        <v>1476.56</v>
      </c>
      <c r="G82" s="173">
        <f ca="1">IFERROR(D82+E82+F82,0)</f>
        <v>4999.08</v>
      </c>
    </row>
    <row r="83" spans="1:14" s="177" customFormat="1" x14ac:dyDescent="0.2">
      <c r="A83" s="174"/>
      <c r="B83" s="171" t="s">
        <v>30</v>
      </c>
      <c r="C83" s="171"/>
      <c r="D83" s="175">
        <f ca="1">D78+D82</f>
        <v>7963.5529299595646</v>
      </c>
      <c r="E83" s="175">
        <f ca="1">E78+E82</f>
        <v>15128.51247918327</v>
      </c>
      <c r="F83" s="175">
        <f ca="1">F78+F82</f>
        <v>9679.6613783328357</v>
      </c>
      <c r="G83" s="175">
        <f ca="1">IFERROR(D83+E83+F83,0)</f>
        <v>32771.726787475665</v>
      </c>
      <c r="H83" s="176"/>
      <c r="I83" s="176"/>
      <c r="J83" s="145"/>
      <c r="K83" s="145"/>
    </row>
    <row r="85" spans="1:14" x14ac:dyDescent="0.2">
      <c r="G85" s="196"/>
    </row>
    <row r="86" spans="1:14" x14ac:dyDescent="0.2">
      <c r="B86" s="243" t="s">
        <v>1212</v>
      </c>
      <c r="C86" s="244"/>
      <c r="D86" s="243"/>
      <c r="E86" s="243"/>
      <c r="F86" s="245"/>
      <c r="G86" s="196"/>
    </row>
    <row r="87" spans="1:14" x14ac:dyDescent="0.2">
      <c r="G87" s="196"/>
    </row>
    <row r="89" spans="1:14" x14ac:dyDescent="0.2">
      <c r="B89" s="243" t="s">
        <v>1340</v>
      </c>
      <c r="C89" s="244"/>
      <c r="D89" s="243"/>
      <c r="E89" s="243"/>
      <c r="F89" s="245"/>
      <c r="G89" s="196"/>
    </row>
    <row r="94" spans="1:14" ht="15" x14ac:dyDescent="0.25">
      <c r="B94" s="462"/>
      <c r="C94" s="477"/>
      <c r="D94" s="478"/>
      <c r="E94" s="478"/>
      <c r="F94" s="478"/>
      <c r="G94" s="478"/>
      <c r="H94" s="479"/>
      <c r="I94" s="282"/>
      <c r="J94" s="462"/>
      <c r="K94" s="462"/>
    </row>
    <row r="95" spans="1:14" ht="15" x14ac:dyDescent="0.2">
      <c r="B95" s="462"/>
      <c r="C95" s="480"/>
      <c r="D95" s="481"/>
      <c r="E95" s="482"/>
      <c r="F95" s="482"/>
      <c r="G95" s="482"/>
      <c r="H95" s="481"/>
      <c r="I95" s="481"/>
      <c r="J95" s="481"/>
      <c r="K95" s="481"/>
    </row>
    <row r="96" spans="1:14" ht="15" x14ac:dyDescent="0.2">
      <c r="B96" s="462"/>
      <c r="C96" s="483"/>
      <c r="D96" s="484"/>
      <c r="E96" s="484"/>
      <c r="F96" s="484"/>
      <c r="G96" s="484"/>
      <c r="H96" s="485"/>
      <c r="I96" s="485"/>
      <c r="J96" s="484"/>
      <c r="K96" s="484"/>
    </row>
    <row r="97" spans="2:11" ht="15" x14ac:dyDescent="0.2">
      <c r="B97" s="462"/>
      <c r="C97" s="483"/>
      <c r="D97" s="484"/>
      <c r="E97" s="484"/>
      <c r="F97" s="484"/>
      <c r="G97" s="484"/>
      <c r="H97" s="485"/>
      <c r="I97" s="485"/>
      <c r="J97" s="484"/>
      <c r="K97" s="484"/>
    </row>
    <row r="98" spans="2:11" ht="15" x14ac:dyDescent="0.2">
      <c r="B98" s="462"/>
      <c r="C98" s="483"/>
      <c r="D98" s="484"/>
      <c r="E98" s="484"/>
      <c r="F98" s="484"/>
      <c r="G98" s="484"/>
      <c r="H98" s="485"/>
      <c r="I98" s="485"/>
      <c r="J98" s="484"/>
      <c r="K98" s="484"/>
    </row>
    <row r="99" spans="2:11" ht="15" x14ac:dyDescent="0.25">
      <c r="B99" s="462"/>
      <c r="C99" s="486"/>
      <c r="D99" s="484"/>
      <c r="E99" s="484"/>
      <c r="F99" s="484"/>
      <c r="G99" s="484"/>
      <c r="H99" s="485"/>
      <c r="I99" s="485"/>
      <c r="J99" s="484"/>
      <c r="K99" s="484"/>
    </row>
    <row r="100" spans="2:11" ht="15" x14ac:dyDescent="0.25">
      <c r="B100" s="462"/>
      <c r="C100" s="486"/>
      <c r="D100" s="484"/>
      <c r="E100" s="484"/>
      <c r="F100" s="484"/>
      <c r="G100" s="484"/>
      <c r="H100" s="485"/>
      <c r="I100" s="485"/>
      <c r="J100" s="484"/>
      <c r="K100" s="484"/>
    </row>
    <row r="101" spans="2:11" ht="15" x14ac:dyDescent="0.25">
      <c r="B101" s="462"/>
      <c r="C101" s="486"/>
      <c r="D101" s="484"/>
      <c r="E101" s="484"/>
      <c r="F101" s="484"/>
      <c r="G101" s="484"/>
      <c r="H101" s="485"/>
      <c r="I101" s="485"/>
      <c r="J101" s="484"/>
      <c r="K101" s="484"/>
    </row>
  </sheetData>
  <sheetProtection algorithmName="SHA-512" hashValue="CTuTEC4HE9nSypXwUVOPPBUJ15w09ELeDxsWqnrXLApNaWyBvOE2KUsmIMLxRaQ8Uy1p7xiDSMnQUy+DtE1Mmg==" saltValue="JNalDpY0ZxeCTZwlymoOMA==" spinCount="100000" sheet="1" objects="1" scenarios="1" formatCells="0" formatColumns="0" formatRows="0"/>
  <mergeCells count="14">
    <mergeCell ref="A18:A19"/>
    <mergeCell ref="C2:E2"/>
    <mergeCell ref="C3:E3"/>
    <mergeCell ref="B12:G12"/>
    <mergeCell ref="B14:G14"/>
    <mergeCell ref="C15:G15"/>
    <mergeCell ref="G18:G19"/>
    <mergeCell ref="C18:C19"/>
    <mergeCell ref="D18:F18"/>
    <mergeCell ref="B18:B19"/>
    <mergeCell ref="F6:G6"/>
    <mergeCell ref="D9:G9"/>
    <mergeCell ref="F10:G10"/>
    <mergeCell ref="F7:G7"/>
  </mergeCells>
  <conditionalFormatting sqref="E38:F39 D35:D39 D41:F58 F59:F71">
    <cfRule type="cellIs" dxfId="14" priority="27" operator="equal">
      <formula>"нет"</formula>
    </cfRule>
  </conditionalFormatting>
  <conditionalFormatting sqref="D25:F25">
    <cfRule type="cellIs" dxfId="13" priority="2" operator="equal">
      <formula>"нет"</formula>
    </cfRule>
  </conditionalFormatting>
  <conditionalFormatting sqref="F22:F24">
    <cfRule type="cellIs" dxfId="12" priority="1" operator="equal">
      <formula>"нет"</formula>
    </cfRule>
  </conditionalFormatting>
  <pageMargins left="0.70866141732283472" right="0.31496062992125984" top="0.55118110236220474" bottom="0.55118110236220474" header="0.31496062992125984" footer="0.31496062992125984"/>
  <pageSetup paperSize="9"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/>
  <dimension ref="A2:V718"/>
  <sheetViews>
    <sheetView zoomScale="90" zoomScaleNormal="90" workbookViewId="0">
      <pane ySplit="4" topLeftCell="A218" activePane="bottomLeft" state="frozen"/>
      <selection activeCell="C8" sqref="C8"/>
      <selection pane="bottomLeft" activeCell="C8" sqref="C8"/>
    </sheetView>
  </sheetViews>
  <sheetFormatPr defaultColWidth="9.140625" defaultRowHeight="12.75" x14ac:dyDescent="0.2"/>
  <cols>
    <col min="1" max="1" width="5.5703125" style="60" customWidth="1"/>
    <col min="2" max="2" width="58.7109375" style="60" customWidth="1"/>
    <col min="3" max="3" width="9.140625" style="54"/>
    <col min="4" max="4" width="9" style="54" customWidth="1"/>
    <col min="5" max="5" width="9.140625" style="52"/>
    <col min="6" max="6" width="11.5703125" style="60" customWidth="1"/>
    <col min="7" max="12" width="9.140625" style="60"/>
    <col min="13" max="13" width="40.140625" style="60" customWidth="1"/>
    <col min="14" max="14" width="9.140625" style="54"/>
    <col min="15" max="16384" width="9.140625" style="60"/>
  </cols>
  <sheetData>
    <row r="2" spans="1:18" x14ac:dyDescent="0.2">
      <c r="B2" s="23" t="s">
        <v>936</v>
      </c>
    </row>
    <row r="3" spans="1:18" x14ac:dyDescent="0.2">
      <c r="B3" s="60" t="s">
        <v>935</v>
      </c>
    </row>
    <row r="4" spans="1:18" x14ac:dyDescent="0.2">
      <c r="B4" s="54" t="s">
        <v>332</v>
      </c>
      <c r="C4" s="54" t="s">
        <v>331</v>
      </c>
      <c r="D4" s="54" t="s">
        <v>476</v>
      </c>
      <c r="E4" s="52" t="s">
        <v>333</v>
      </c>
      <c r="F4" s="60" t="s">
        <v>319</v>
      </c>
      <c r="G4" s="60" t="s">
        <v>184</v>
      </c>
      <c r="H4" s="60" t="s">
        <v>4</v>
      </c>
      <c r="I4" s="60" t="s">
        <v>259</v>
      </c>
      <c r="J4" s="60" t="s">
        <v>311</v>
      </c>
      <c r="K4" s="60" t="s">
        <v>474</v>
      </c>
      <c r="M4" s="60" t="s">
        <v>398</v>
      </c>
      <c r="N4" s="54" t="s">
        <v>331</v>
      </c>
      <c r="O4" s="60" t="s">
        <v>399</v>
      </c>
    </row>
    <row r="5" spans="1:18" ht="13.5" x14ac:dyDescent="0.25">
      <c r="B5" s="22" t="s">
        <v>411</v>
      </c>
      <c r="C5" s="54" t="s">
        <v>414</v>
      </c>
    </row>
    <row r="6" spans="1:18" x14ac:dyDescent="0.2">
      <c r="A6" s="60">
        <v>2</v>
      </c>
      <c r="B6" s="60" t="s">
        <v>1107</v>
      </c>
      <c r="C6" s="54" t="s">
        <v>414</v>
      </c>
      <c r="D6" s="60">
        <v>1</v>
      </c>
      <c r="E6" s="52">
        <v>175.7</v>
      </c>
      <c r="F6" s="60">
        <v>0.4</v>
      </c>
      <c r="G6" s="60">
        <v>80</v>
      </c>
      <c r="H6" s="60">
        <v>4</v>
      </c>
      <c r="J6" s="60">
        <v>7</v>
      </c>
      <c r="K6" s="60">
        <v>9</v>
      </c>
      <c r="L6" s="63"/>
      <c r="M6" s="47" t="s">
        <v>193</v>
      </c>
      <c r="O6" s="60" t="s">
        <v>310</v>
      </c>
      <c r="P6" s="60" t="s">
        <v>440</v>
      </c>
      <c r="Q6" s="60" t="s">
        <v>441</v>
      </c>
      <c r="R6" s="60" t="s">
        <v>187</v>
      </c>
    </row>
    <row r="7" spans="1:18" x14ac:dyDescent="0.2">
      <c r="B7" s="60" t="s">
        <v>1108</v>
      </c>
      <c r="C7" s="54" t="s">
        <v>414</v>
      </c>
      <c r="D7" s="60">
        <f t="shared" ref="D7:D20" si="0">D6+1</f>
        <v>2</v>
      </c>
      <c r="E7" s="52">
        <v>119.9</v>
      </c>
      <c r="F7" s="60">
        <v>0.4</v>
      </c>
      <c r="G7" s="60">
        <v>80</v>
      </c>
      <c r="H7" s="60">
        <v>4</v>
      </c>
      <c r="J7" s="60">
        <v>7</v>
      </c>
      <c r="K7" s="60">
        <v>9</v>
      </c>
      <c r="L7" s="63"/>
      <c r="M7" s="60" t="s">
        <v>437</v>
      </c>
      <c r="N7" s="54" t="s">
        <v>439</v>
      </c>
      <c r="O7" s="60">
        <v>0.91</v>
      </c>
      <c r="P7" s="60">
        <v>0.93</v>
      </c>
      <c r="Q7" s="60">
        <v>0.85</v>
      </c>
      <c r="R7" s="60">
        <v>0.86</v>
      </c>
    </row>
    <row r="8" spans="1:18" x14ac:dyDescent="0.2">
      <c r="B8" s="60" t="s">
        <v>1109</v>
      </c>
      <c r="C8" s="54" t="s">
        <v>414</v>
      </c>
      <c r="D8" s="60">
        <f t="shared" si="0"/>
        <v>3</v>
      </c>
      <c r="E8" s="52">
        <v>164.8</v>
      </c>
      <c r="F8" s="60">
        <v>0.4</v>
      </c>
      <c r="G8" s="60">
        <v>80</v>
      </c>
      <c r="H8" s="60">
        <v>4</v>
      </c>
      <c r="J8" s="60">
        <v>7</v>
      </c>
      <c r="K8" s="60">
        <v>9</v>
      </c>
      <c r="L8" s="63"/>
      <c r="M8" s="60" t="s">
        <v>438</v>
      </c>
      <c r="N8" s="54" t="s">
        <v>439</v>
      </c>
      <c r="O8" s="60">
        <v>1.1200000000000001</v>
      </c>
      <c r="P8" s="60">
        <v>1.1000000000000001</v>
      </c>
      <c r="Q8" s="60">
        <v>1.0900000000000001</v>
      </c>
      <c r="R8" s="60">
        <v>1.1100000000000001</v>
      </c>
    </row>
    <row r="9" spans="1:18" x14ac:dyDescent="0.2">
      <c r="B9" s="60" t="s">
        <v>1110</v>
      </c>
      <c r="C9" s="54" t="s">
        <v>414</v>
      </c>
      <c r="D9" s="60">
        <f t="shared" si="0"/>
        <v>4</v>
      </c>
      <c r="E9" s="52">
        <v>142.69999999999999</v>
      </c>
      <c r="F9" s="60">
        <v>0.4</v>
      </c>
      <c r="G9" s="60">
        <v>80</v>
      </c>
      <c r="H9" s="60">
        <v>4</v>
      </c>
      <c r="J9" s="60">
        <v>7</v>
      </c>
      <c r="K9" s="60">
        <v>9</v>
      </c>
      <c r="L9" s="63"/>
      <c r="M9" s="60" t="s">
        <v>1015</v>
      </c>
      <c r="R9" s="60">
        <v>0.2</v>
      </c>
    </row>
    <row r="10" spans="1:18" x14ac:dyDescent="0.2">
      <c r="B10" s="60" t="s">
        <v>1111</v>
      </c>
      <c r="C10" s="54" t="s">
        <v>414</v>
      </c>
      <c r="D10" s="60">
        <f t="shared" si="0"/>
        <v>5</v>
      </c>
      <c r="E10" s="52">
        <v>186.9</v>
      </c>
      <c r="F10" s="60">
        <v>0.4</v>
      </c>
      <c r="G10" s="60">
        <v>80</v>
      </c>
      <c r="H10" s="60">
        <v>4</v>
      </c>
      <c r="J10" s="60">
        <v>7</v>
      </c>
      <c r="K10" s="60">
        <v>9</v>
      </c>
      <c r="L10" s="63"/>
      <c r="M10" s="60" t="s">
        <v>1016</v>
      </c>
      <c r="R10" s="60">
        <v>0.5</v>
      </c>
    </row>
    <row r="11" spans="1:18" x14ac:dyDescent="0.2">
      <c r="B11" s="60" t="s">
        <v>1147</v>
      </c>
      <c r="C11" s="54" t="s">
        <v>414</v>
      </c>
      <c r="D11" s="60">
        <f t="shared" si="0"/>
        <v>6</v>
      </c>
      <c r="E11" s="52">
        <v>124.8</v>
      </c>
      <c r="F11" s="60">
        <v>0.4</v>
      </c>
      <c r="G11" s="60">
        <v>80</v>
      </c>
      <c r="H11" s="60">
        <v>4</v>
      </c>
      <c r="J11" s="60">
        <v>7</v>
      </c>
      <c r="K11" s="60">
        <v>9</v>
      </c>
      <c r="L11" s="63"/>
    </row>
    <row r="12" spans="1:18" x14ac:dyDescent="0.2">
      <c r="B12" s="60" t="s">
        <v>1112</v>
      </c>
      <c r="C12" s="54" t="s">
        <v>414</v>
      </c>
      <c r="D12" s="60">
        <f t="shared" si="0"/>
        <v>7</v>
      </c>
      <c r="E12" s="52">
        <v>194.5</v>
      </c>
      <c r="F12" s="60">
        <v>0.4</v>
      </c>
      <c r="G12" s="60">
        <v>80</v>
      </c>
      <c r="H12" s="60">
        <v>4</v>
      </c>
      <c r="J12" s="60">
        <v>7</v>
      </c>
      <c r="K12" s="60">
        <v>9</v>
      </c>
      <c r="L12" s="63"/>
      <c r="M12" s="47" t="s">
        <v>473</v>
      </c>
    </row>
    <row r="13" spans="1:18" x14ac:dyDescent="0.2">
      <c r="B13" s="60" t="s">
        <v>1113</v>
      </c>
      <c r="C13" s="54" t="s">
        <v>414</v>
      </c>
      <c r="D13" s="60">
        <f t="shared" si="0"/>
        <v>8</v>
      </c>
      <c r="E13" s="52">
        <v>130.19999999999999</v>
      </c>
      <c r="F13" s="60">
        <v>0.4</v>
      </c>
      <c r="G13" s="60">
        <v>80</v>
      </c>
      <c r="H13" s="60">
        <v>4</v>
      </c>
      <c r="J13" s="60">
        <v>7</v>
      </c>
      <c r="K13" s="60">
        <v>9</v>
      </c>
      <c r="L13" s="63"/>
      <c r="M13" s="60" t="s">
        <v>1002</v>
      </c>
      <c r="N13" s="54" t="s">
        <v>472</v>
      </c>
      <c r="O13" s="60">
        <v>1.0429999999999999</v>
      </c>
    </row>
    <row r="14" spans="1:18" x14ac:dyDescent="0.2">
      <c r="B14" s="60" t="s">
        <v>1114</v>
      </c>
      <c r="C14" s="54" t="s">
        <v>414</v>
      </c>
      <c r="D14" s="60">
        <f t="shared" si="0"/>
        <v>9</v>
      </c>
      <c r="E14" s="52">
        <v>150.19999999999999</v>
      </c>
      <c r="F14" s="60">
        <v>0.4</v>
      </c>
      <c r="G14" s="60">
        <v>80</v>
      </c>
      <c r="H14" s="60">
        <v>4</v>
      </c>
      <c r="J14" s="60">
        <v>7</v>
      </c>
      <c r="K14" s="60">
        <v>9</v>
      </c>
      <c r="L14" s="63"/>
      <c r="M14" s="60" t="s">
        <v>1006</v>
      </c>
      <c r="N14" s="54" t="s">
        <v>472</v>
      </c>
      <c r="O14" s="60">
        <v>1.012</v>
      </c>
    </row>
    <row r="15" spans="1:18" x14ac:dyDescent="0.2">
      <c r="B15" s="60" t="s">
        <v>1115</v>
      </c>
      <c r="C15" s="54" t="s">
        <v>414</v>
      </c>
      <c r="D15" s="60">
        <f t="shared" si="0"/>
        <v>10</v>
      </c>
      <c r="E15" s="52">
        <v>104.6</v>
      </c>
      <c r="F15" s="60">
        <v>0.4</v>
      </c>
      <c r="G15" s="60">
        <v>80</v>
      </c>
      <c r="H15" s="60">
        <v>4</v>
      </c>
      <c r="J15" s="60">
        <v>7</v>
      </c>
      <c r="K15" s="60">
        <v>9</v>
      </c>
      <c r="L15" s="63"/>
      <c r="M15" s="60" t="s">
        <v>1003</v>
      </c>
      <c r="N15" s="54" t="s">
        <v>472</v>
      </c>
      <c r="O15" s="60">
        <v>1.0129999999999999</v>
      </c>
      <c r="P15" s="60">
        <v>1.022</v>
      </c>
    </row>
    <row r="16" spans="1:18" x14ac:dyDescent="0.2">
      <c r="B16" s="60" t="s">
        <v>1116</v>
      </c>
      <c r="C16" s="54" t="s">
        <v>414</v>
      </c>
      <c r="D16" s="60">
        <f t="shared" si="0"/>
        <v>11</v>
      </c>
      <c r="E16" s="52">
        <v>159.30000000000001</v>
      </c>
      <c r="F16" s="60">
        <v>0.4</v>
      </c>
      <c r="G16" s="60">
        <v>80</v>
      </c>
      <c r="H16" s="60">
        <v>4</v>
      </c>
      <c r="J16" s="60">
        <v>7</v>
      </c>
      <c r="K16" s="60">
        <v>9</v>
      </c>
      <c r="L16" s="63"/>
      <c r="M16" s="60" t="s">
        <v>1007</v>
      </c>
      <c r="N16" s="54" t="s">
        <v>472</v>
      </c>
      <c r="O16" s="60">
        <v>1.0529999999999999</v>
      </c>
    </row>
    <row r="17" spans="2:20" x14ac:dyDescent="0.2">
      <c r="B17" s="60" t="s">
        <v>1117</v>
      </c>
      <c r="C17" s="54" t="s">
        <v>414</v>
      </c>
      <c r="D17" s="60">
        <f t="shared" si="0"/>
        <v>12</v>
      </c>
      <c r="E17" s="52">
        <v>112.3</v>
      </c>
      <c r="F17" s="60">
        <v>0.4</v>
      </c>
      <c r="G17" s="60">
        <v>80</v>
      </c>
      <c r="H17" s="60">
        <v>4</v>
      </c>
      <c r="J17" s="60">
        <v>7</v>
      </c>
      <c r="K17" s="60">
        <v>9</v>
      </c>
      <c r="L17" s="63"/>
      <c r="M17" s="60" t="s">
        <v>1008</v>
      </c>
      <c r="N17" s="54" t="s">
        <v>472</v>
      </c>
      <c r="O17" s="60">
        <v>1.028</v>
      </c>
    </row>
    <row r="18" spans="2:20" x14ac:dyDescent="0.2">
      <c r="B18" s="60" t="s">
        <v>1118</v>
      </c>
      <c r="C18" s="54" t="s">
        <v>414</v>
      </c>
      <c r="D18" s="60">
        <f t="shared" si="0"/>
        <v>13</v>
      </c>
      <c r="E18" s="52">
        <v>164.8</v>
      </c>
      <c r="F18" s="60">
        <v>0.4</v>
      </c>
      <c r="G18" s="60">
        <v>80</v>
      </c>
      <c r="H18" s="60">
        <v>4</v>
      </c>
      <c r="J18" s="60">
        <v>7</v>
      </c>
      <c r="K18" s="60">
        <v>9</v>
      </c>
      <c r="L18" s="63"/>
    </row>
    <row r="19" spans="2:20" x14ac:dyDescent="0.2">
      <c r="B19" s="60" t="s">
        <v>1119</v>
      </c>
      <c r="C19" s="54" t="s">
        <v>414</v>
      </c>
      <c r="D19" s="60">
        <f t="shared" si="0"/>
        <v>14</v>
      </c>
      <c r="E19" s="52">
        <v>116.7</v>
      </c>
      <c r="F19" s="60">
        <v>0.4</v>
      </c>
      <c r="G19" s="60">
        <v>80</v>
      </c>
      <c r="H19" s="60">
        <v>4</v>
      </c>
      <c r="J19" s="60">
        <v>7</v>
      </c>
      <c r="K19" s="60">
        <v>9</v>
      </c>
      <c r="L19" s="63"/>
    </row>
    <row r="20" spans="2:20" x14ac:dyDescent="0.2">
      <c r="B20" s="60" t="s">
        <v>412</v>
      </c>
      <c r="C20" s="54" t="s">
        <v>414</v>
      </c>
      <c r="D20" s="60">
        <f t="shared" si="0"/>
        <v>15</v>
      </c>
      <c r="E20" s="52">
        <v>216.6</v>
      </c>
      <c r="F20" s="60">
        <v>0.4</v>
      </c>
      <c r="G20" s="60">
        <v>80</v>
      </c>
      <c r="H20" s="60">
        <v>4</v>
      </c>
      <c r="J20" s="60">
        <v>7</v>
      </c>
      <c r="K20" s="60">
        <v>9</v>
      </c>
      <c r="L20" s="63"/>
    </row>
    <row r="21" spans="2:20" x14ac:dyDescent="0.2">
      <c r="B21" s="60" t="s">
        <v>413</v>
      </c>
      <c r="C21" s="54" t="s">
        <v>414</v>
      </c>
      <c r="D21" s="60">
        <f>D20+1</f>
        <v>16</v>
      </c>
      <c r="E21" s="52">
        <v>245.8</v>
      </c>
      <c r="F21" s="60">
        <v>0.4</v>
      </c>
      <c r="G21" s="60">
        <v>80</v>
      </c>
      <c r="H21" s="60">
        <v>4</v>
      </c>
      <c r="J21" s="60">
        <v>7</v>
      </c>
      <c r="K21" s="60">
        <v>9</v>
      </c>
      <c r="L21" s="63"/>
    </row>
    <row r="22" spans="2:20" x14ac:dyDescent="0.2">
      <c r="B22" s="60" t="s">
        <v>415</v>
      </c>
      <c r="C22" s="54" t="s">
        <v>414</v>
      </c>
      <c r="D22" s="60">
        <f>D21+1</f>
        <v>17</v>
      </c>
      <c r="E22" s="52">
        <v>229.2</v>
      </c>
      <c r="F22" s="60">
        <v>0.4</v>
      </c>
      <c r="G22" s="60">
        <v>80</v>
      </c>
      <c r="H22" s="60">
        <v>4</v>
      </c>
      <c r="J22" s="60">
        <v>7</v>
      </c>
      <c r="K22" s="60">
        <v>9</v>
      </c>
      <c r="L22" s="63"/>
      <c r="T22" s="60">
        <f>1.5+2.5+7.5+2.6+5+3</f>
        <v>22.1</v>
      </c>
    </row>
    <row r="23" spans="2:20" x14ac:dyDescent="0.2">
      <c r="B23" s="60" t="s">
        <v>334</v>
      </c>
      <c r="C23" s="54" t="s">
        <v>414</v>
      </c>
      <c r="D23" s="60">
        <f>D22+1</f>
        <v>18</v>
      </c>
      <c r="E23" s="52">
        <v>116.9</v>
      </c>
      <c r="F23" s="60">
        <v>0.4</v>
      </c>
      <c r="G23" s="60">
        <v>80</v>
      </c>
      <c r="H23" s="60">
        <v>4</v>
      </c>
      <c r="J23" s="60">
        <v>7</v>
      </c>
      <c r="K23" s="60">
        <v>9</v>
      </c>
      <c r="L23" s="63"/>
      <c r="M23" s="60" t="s">
        <v>1004</v>
      </c>
      <c r="N23" s="54" t="s">
        <v>472</v>
      </c>
      <c r="O23" s="60">
        <v>1.0029999999999999</v>
      </c>
      <c r="T23" s="60">
        <f>1.5+3.3+9+3.18+8+3</f>
        <v>27.98</v>
      </c>
    </row>
    <row r="24" spans="2:20" x14ac:dyDescent="0.2">
      <c r="B24" s="60" t="s">
        <v>335</v>
      </c>
      <c r="C24" s="54" t="s">
        <v>414</v>
      </c>
      <c r="D24" s="60">
        <f t="shared" ref="D24:D81" si="1">D23+1</f>
        <v>19</v>
      </c>
      <c r="E24" s="52">
        <v>114.2</v>
      </c>
      <c r="F24" s="60">
        <v>0.4</v>
      </c>
      <c r="G24" s="60">
        <v>80</v>
      </c>
      <c r="H24" s="60">
        <v>4</v>
      </c>
      <c r="J24" s="60">
        <v>7</v>
      </c>
      <c r="K24" s="60">
        <v>9</v>
      </c>
      <c r="L24" s="63"/>
      <c r="M24" s="60" t="s">
        <v>1005</v>
      </c>
      <c r="N24" s="54" t="s">
        <v>472</v>
      </c>
      <c r="O24" s="60">
        <v>1.006</v>
      </c>
    </row>
    <row r="25" spans="2:20" x14ac:dyDescent="0.2">
      <c r="B25" s="60" t="s">
        <v>336</v>
      </c>
      <c r="C25" s="54" t="s">
        <v>414</v>
      </c>
      <c r="D25" s="60">
        <f t="shared" si="1"/>
        <v>20</v>
      </c>
      <c r="E25" s="52">
        <v>127.9</v>
      </c>
      <c r="F25" s="60">
        <v>0.4</v>
      </c>
      <c r="G25" s="60">
        <v>80</v>
      </c>
      <c r="H25" s="60">
        <v>4</v>
      </c>
      <c r="J25" s="60">
        <v>7</v>
      </c>
      <c r="K25" s="60">
        <v>9</v>
      </c>
      <c r="L25" s="63"/>
    </row>
    <row r="26" spans="2:20" x14ac:dyDescent="0.2">
      <c r="B26" s="60" t="s">
        <v>337</v>
      </c>
      <c r="C26" s="54" t="s">
        <v>414</v>
      </c>
      <c r="D26" s="60">
        <f t="shared" si="1"/>
        <v>21</v>
      </c>
      <c r="E26" s="52">
        <v>125.7</v>
      </c>
      <c r="F26" s="60">
        <v>0.4</v>
      </c>
      <c r="G26" s="60">
        <v>80</v>
      </c>
      <c r="H26" s="60">
        <v>4</v>
      </c>
      <c r="J26" s="60">
        <v>7</v>
      </c>
      <c r="K26" s="60">
        <v>9</v>
      </c>
      <c r="L26" s="63"/>
      <c r="M26" s="60" t="s">
        <v>997</v>
      </c>
      <c r="N26" s="54" t="s">
        <v>996</v>
      </c>
      <c r="O26" s="60">
        <v>1.02</v>
      </c>
      <c r="Q26" s="60">
        <v>1.02</v>
      </c>
      <c r="R26" s="60">
        <v>1.02</v>
      </c>
    </row>
    <row r="27" spans="2:20" x14ac:dyDescent="0.2">
      <c r="B27" s="60" t="s">
        <v>338</v>
      </c>
      <c r="C27" s="54" t="s">
        <v>414</v>
      </c>
      <c r="D27" s="60">
        <f t="shared" si="1"/>
        <v>22</v>
      </c>
      <c r="E27" s="52">
        <v>133.4</v>
      </c>
      <c r="F27" s="60">
        <v>0.4</v>
      </c>
      <c r="G27" s="60">
        <v>80</v>
      </c>
      <c r="H27" s="60">
        <v>4</v>
      </c>
      <c r="J27" s="60">
        <v>7</v>
      </c>
      <c r="K27" s="60">
        <v>9</v>
      </c>
      <c r="L27" s="63"/>
      <c r="M27" s="60" t="s">
        <v>998</v>
      </c>
      <c r="N27" s="54" t="s">
        <v>996</v>
      </c>
      <c r="O27" s="60">
        <v>1.03</v>
      </c>
      <c r="Q27" s="60">
        <v>1.03</v>
      </c>
      <c r="R27" s="60">
        <v>1.04</v>
      </c>
    </row>
    <row r="28" spans="2:20" x14ac:dyDescent="0.2">
      <c r="B28" s="60" t="s">
        <v>339</v>
      </c>
      <c r="C28" s="54" t="s">
        <v>414</v>
      </c>
      <c r="D28" s="60">
        <f t="shared" si="1"/>
        <v>23</v>
      </c>
      <c r="E28" s="52">
        <v>130.30000000000001</v>
      </c>
      <c r="F28" s="60">
        <v>0.4</v>
      </c>
      <c r="G28" s="60">
        <v>80</v>
      </c>
      <c r="H28" s="60">
        <v>4</v>
      </c>
      <c r="J28" s="60">
        <v>7</v>
      </c>
      <c r="K28" s="60">
        <v>9</v>
      </c>
      <c r="L28" s="63"/>
      <c r="M28" s="60" t="s">
        <v>999</v>
      </c>
      <c r="N28" s="54" t="s">
        <v>996</v>
      </c>
      <c r="O28" s="60">
        <v>1.05</v>
      </c>
      <c r="Q28" s="60">
        <v>1.05</v>
      </c>
      <c r="R28" s="60">
        <v>1.08</v>
      </c>
    </row>
    <row r="29" spans="2:20" x14ac:dyDescent="0.2">
      <c r="B29" s="60" t="s">
        <v>1120</v>
      </c>
      <c r="C29" s="54" t="s">
        <v>414</v>
      </c>
      <c r="D29" s="60">
        <f t="shared" si="1"/>
        <v>24</v>
      </c>
      <c r="E29" s="52">
        <v>78.3</v>
      </c>
      <c r="F29" s="60">
        <v>0.4</v>
      </c>
      <c r="G29" s="60">
        <v>80</v>
      </c>
      <c r="H29" s="60">
        <v>4</v>
      </c>
      <c r="J29" s="60">
        <v>7</v>
      </c>
      <c r="K29" s="60">
        <v>9</v>
      </c>
      <c r="L29" s="63"/>
    </row>
    <row r="30" spans="2:20" x14ac:dyDescent="0.2">
      <c r="B30" s="60" t="s">
        <v>1121</v>
      </c>
      <c r="C30" s="54" t="s">
        <v>414</v>
      </c>
      <c r="D30" s="60">
        <f t="shared" si="1"/>
        <v>25</v>
      </c>
      <c r="E30" s="52">
        <v>76.099999999999994</v>
      </c>
      <c r="F30" s="60">
        <v>0.4</v>
      </c>
      <c r="G30" s="60">
        <v>80</v>
      </c>
      <c r="H30" s="60">
        <v>4</v>
      </c>
      <c r="J30" s="60">
        <v>7</v>
      </c>
      <c r="K30" s="60">
        <v>9</v>
      </c>
      <c r="L30" s="63"/>
      <c r="M30" s="60" t="s">
        <v>1001</v>
      </c>
      <c r="O30" s="60">
        <v>1.018</v>
      </c>
      <c r="P30" s="60">
        <v>1.036</v>
      </c>
      <c r="Q30" s="60">
        <v>1.018</v>
      </c>
    </row>
    <row r="31" spans="2:20" x14ac:dyDescent="0.2">
      <c r="B31" s="60" t="s">
        <v>1122</v>
      </c>
      <c r="C31" s="54" t="s">
        <v>414</v>
      </c>
      <c r="D31" s="60">
        <f t="shared" si="1"/>
        <v>26</v>
      </c>
      <c r="E31" s="52">
        <v>91.6</v>
      </c>
      <c r="F31" s="60">
        <v>0.4</v>
      </c>
      <c r="G31" s="60">
        <v>80</v>
      </c>
      <c r="H31" s="60">
        <v>4</v>
      </c>
      <c r="J31" s="60">
        <v>7</v>
      </c>
      <c r="K31" s="60">
        <v>9</v>
      </c>
      <c r="L31" s="63"/>
    </row>
    <row r="32" spans="2:20" x14ac:dyDescent="0.2">
      <c r="B32" s="60" t="s">
        <v>1123</v>
      </c>
      <c r="C32" s="54" t="s">
        <v>414</v>
      </c>
      <c r="D32" s="60">
        <f t="shared" si="1"/>
        <v>27</v>
      </c>
      <c r="E32" s="52">
        <v>88.7</v>
      </c>
      <c r="F32" s="60">
        <v>0.4</v>
      </c>
      <c r="G32" s="60">
        <v>80</v>
      </c>
      <c r="H32" s="60">
        <v>4</v>
      </c>
      <c r="J32" s="60">
        <v>7</v>
      </c>
      <c r="K32" s="60">
        <v>9</v>
      </c>
      <c r="L32" s="63"/>
      <c r="M32" s="60" t="s">
        <v>1024</v>
      </c>
      <c r="N32" s="26"/>
      <c r="O32" s="26" t="b">
        <f>OR('Расчет стоимости'!$C$11=Регионы!$B$15,'Расчет стоимости'!$C$11=Регионы!$B$23)</f>
        <v>0</v>
      </c>
    </row>
    <row r="33" spans="1:18" x14ac:dyDescent="0.2">
      <c r="B33" s="60" t="s">
        <v>1124</v>
      </c>
      <c r="C33" s="54" t="s">
        <v>414</v>
      </c>
      <c r="D33" s="60">
        <f t="shared" si="1"/>
        <v>28</v>
      </c>
      <c r="E33" s="52">
        <v>107.2</v>
      </c>
      <c r="F33" s="60">
        <v>0.4</v>
      </c>
      <c r="G33" s="60">
        <v>80</v>
      </c>
      <c r="H33" s="60">
        <v>4</v>
      </c>
      <c r="J33" s="60">
        <v>7</v>
      </c>
      <c r="K33" s="60">
        <v>9</v>
      </c>
      <c r="L33" s="63"/>
      <c r="N33" s="26"/>
      <c r="O33" s="26"/>
    </row>
    <row r="34" spans="1:18" x14ac:dyDescent="0.2">
      <c r="B34" s="60" t="s">
        <v>1125</v>
      </c>
      <c r="C34" s="54" t="s">
        <v>414</v>
      </c>
      <c r="D34" s="60">
        <f t="shared" si="1"/>
        <v>29</v>
      </c>
      <c r="E34" s="52">
        <v>104.9</v>
      </c>
      <c r="F34" s="60">
        <v>0.4</v>
      </c>
      <c r="G34" s="60">
        <v>80</v>
      </c>
      <c r="H34" s="60">
        <v>4</v>
      </c>
      <c r="J34" s="60">
        <v>7</v>
      </c>
      <c r="K34" s="60">
        <v>9</v>
      </c>
      <c r="L34" s="63"/>
    </row>
    <row r="35" spans="1:18" x14ac:dyDescent="0.2">
      <c r="B35" s="60" t="s">
        <v>340</v>
      </c>
      <c r="C35" s="54" t="s">
        <v>414</v>
      </c>
      <c r="D35" s="60">
        <f t="shared" si="1"/>
        <v>30</v>
      </c>
      <c r="E35" s="52">
        <v>373.1</v>
      </c>
      <c r="F35" s="60">
        <v>0.4</v>
      </c>
      <c r="G35" s="60">
        <v>80</v>
      </c>
      <c r="H35" s="60">
        <v>4</v>
      </c>
      <c r="J35" s="60">
        <v>7</v>
      </c>
      <c r="K35" s="60">
        <v>9</v>
      </c>
      <c r="L35" s="63"/>
      <c r="M35" s="52" t="s">
        <v>1235</v>
      </c>
    </row>
    <row r="36" spans="1:18" x14ac:dyDescent="0.2">
      <c r="B36" s="60" t="s">
        <v>1126</v>
      </c>
      <c r="C36" s="54" t="s">
        <v>414</v>
      </c>
      <c r="D36" s="60">
        <f t="shared" si="1"/>
        <v>31</v>
      </c>
      <c r="E36" s="52">
        <v>396</v>
      </c>
      <c r="F36" s="60">
        <v>10</v>
      </c>
      <c r="G36" s="60">
        <v>80</v>
      </c>
      <c r="H36" s="60">
        <v>4</v>
      </c>
      <c r="J36" s="60">
        <v>7</v>
      </c>
      <c r="K36" s="60">
        <v>9</v>
      </c>
      <c r="L36" s="63"/>
      <c r="M36" s="60" t="s">
        <v>1030</v>
      </c>
      <c r="O36" s="60">
        <v>1.4999999999999999E-2</v>
      </c>
      <c r="P36" s="60">
        <v>1.4999999999999999E-2</v>
      </c>
      <c r="R36" s="60">
        <v>0.02</v>
      </c>
    </row>
    <row r="37" spans="1:18" x14ac:dyDescent="0.2">
      <c r="B37" s="60" t="s">
        <v>1127</v>
      </c>
      <c r="C37" s="54" t="s">
        <v>414</v>
      </c>
      <c r="D37" s="60">
        <f t="shared" si="1"/>
        <v>32</v>
      </c>
      <c r="E37" s="52">
        <v>295</v>
      </c>
      <c r="F37" s="60">
        <v>10</v>
      </c>
      <c r="G37" s="60">
        <v>80</v>
      </c>
      <c r="H37" s="60">
        <v>4</v>
      </c>
      <c r="J37" s="60">
        <v>7</v>
      </c>
      <c r="K37" s="60">
        <v>9</v>
      </c>
      <c r="L37" s="63"/>
      <c r="M37" s="60" t="s">
        <v>323</v>
      </c>
      <c r="O37" s="60">
        <v>2.5000000000000001E-2</v>
      </c>
      <c r="P37" s="60">
        <v>1.4999999999999999E-2</v>
      </c>
      <c r="R37" s="60">
        <v>3.9E-2</v>
      </c>
    </row>
    <row r="38" spans="1:18" x14ac:dyDescent="0.2">
      <c r="B38" s="60" t="s">
        <v>1128</v>
      </c>
      <c r="C38" s="54" t="s">
        <v>414</v>
      </c>
      <c r="D38" s="60">
        <f t="shared" si="1"/>
        <v>33</v>
      </c>
      <c r="E38" s="52">
        <v>321.3</v>
      </c>
      <c r="F38" s="60">
        <v>10</v>
      </c>
      <c r="G38" s="60">
        <v>80</v>
      </c>
      <c r="H38" s="60">
        <v>4</v>
      </c>
      <c r="J38" s="60">
        <v>7</v>
      </c>
      <c r="K38" s="60">
        <v>9</v>
      </c>
      <c r="L38" s="63"/>
      <c r="M38" s="60" t="s">
        <v>1032</v>
      </c>
      <c r="O38" s="60">
        <v>0.05</v>
      </c>
      <c r="P38" s="60">
        <v>0.03</v>
      </c>
      <c r="R38" s="60">
        <v>7.0000000000000007E-2</v>
      </c>
    </row>
    <row r="39" spans="1:18" x14ac:dyDescent="0.2">
      <c r="B39" s="60" t="s">
        <v>1129</v>
      </c>
      <c r="C39" s="54" t="s">
        <v>414</v>
      </c>
      <c r="D39" s="60">
        <f t="shared" si="1"/>
        <v>34</v>
      </c>
      <c r="E39" s="52">
        <v>411.4</v>
      </c>
      <c r="F39" s="60">
        <v>10</v>
      </c>
      <c r="G39" s="60">
        <v>80</v>
      </c>
      <c r="H39" s="60">
        <v>4</v>
      </c>
      <c r="J39" s="60">
        <v>7</v>
      </c>
      <c r="K39" s="60">
        <v>9</v>
      </c>
      <c r="L39" s="63"/>
      <c r="M39" s="60" t="s">
        <v>1033</v>
      </c>
      <c r="O39" s="60">
        <v>2.5999999999999999E-2</v>
      </c>
      <c r="P39" s="60">
        <v>2.5999999999999999E-2</v>
      </c>
      <c r="R39" s="60">
        <v>2.5999999999999999E-2</v>
      </c>
    </row>
    <row r="40" spans="1:18" x14ac:dyDescent="0.2">
      <c r="B40" s="60" t="s">
        <v>341</v>
      </c>
      <c r="C40" s="54" t="s">
        <v>414</v>
      </c>
      <c r="D40" s="60">
        <f t="shared" si="1"/>
        <v>35</v>
      </c>
      <c r="E40" s="52">
        <v>202.2</v>
      </c>
      <c r="F40" s="60">
        <v>10</v>
      </c>
      <c r="G40" s="60">
        <v>80</v>
      </c>
      <c r="H40" s="60">
        <v>4</v>
      </c>
      <c r="J40" s="60">
        <v>7</v>
      </c>
      <c r="K40" s="60">
        <v>9</v>
      </c>
      <c r="L40" s="63"/>
      <c r="M40" s="60" t="s">
        <v>1031</v>
      </c>
      <c r="O40" s="60">
        <v>7.4999999999999997E-2</v>
      </c>
      <c r="P40" s="60">
        <v>7.4999999999999997E-2</v>
      </c>
      <c r="R40" s="60">
        <v>7.4999999999999997E-2</v>
      </c>
    </row>
    <row r="41" spans="1:18" x14ac:dyDescent="0.2">
      <c r="B41" s="60" t="s">
        <v>342</v>
      </c>
      <c r="C41" s="54" t="s">
        <v>414</v>
      </c>
      <c r="D41" s="60">
        <f t="shared" si="1"/>
        <v>36</v>
      </c>
      <c r="E41" s="52">
        <v>162.30000000000001</v>
      </c>
      <c r="F41" s="60">
        <v>10</v>
      </c>
      <c r="G41" s="60">
        <v>80</v>
      </c>
      <c r="H41" s="60">
        <v>4</v>
      </c>
      <c r="J41" s="60">
        <v>7</v>
      </c>
      <c r="K41" s="60">
        <v>9</v>
      </c>
      <c r="L41" s="63"/>
      <c r="M41" s="60" t="s">
        <v>1034</v>
      </c>
      <c r="O41" s="60">
        <v>0.03</v>
      </c>
      <c r="P41" s="60">
        <v>0.03</v>
      </c>
      <c r="R41" s="60">
        <v>0.03</v>
      </c>
    </row>
    <row r="42" spans="1:18" x14ac:dyDescent="0.2">
      <c r="B42" s="60" t="s">
        <v>343</v>
      </c>
      <c r="C42" s="54" t="s">
        <v>414</v>
      </c>
      <c r="D42" s="60">
        <f t="shared" si="1"/>
        <v>37</v>
      </c>
      <c r="E42" s="52">
        <v>224.4</v>
      </c>
      <c r="F42" s="60">
        <v>10</v>
      </c>
      <c r="G42" s="60">
        <v>80</v>
      </c>
      <c r="H42" s="60">
        <v>4</v>
      </c>
      <c r="J42" s="60">
        <v>7</v>
      </c>
      <c r="K42" s="60">
        <v>9</v>
      </c>
      <c r="L42" s="63"/>
    </row>
    <row r="43" spans="1:18" x14ac:dyDescent="0.2">
      <c r="B43" s="60" t="s">
        <v>344</v>
      </c>
      <c r="C43" s="54" t="s">
        <v>414</v>
      </c>
      <c r="D43" s="60">
        <f t="shared" si="1"/>
        <v>38</v>
      </c>
      <c r="E43" s="52">
        <v>243.7</v>
      </c>
      <c r="F43" s="60">
        <v>10</v>
      </c>
      <c r="G43" s="60">
        <v>80</v>
      </c>
      <c r="H43" s="60">
        <v>4</v>
      </c>
      <c r="J43" s="60">
        <v>7</v>
      </c>
      <c r="K43" s="60">
        <v>9</v>
      </c>
      <c r="L43" s="63"/>
      <c r="M43" s="52" t="s">
        <v>1236</v>
      </c>
    </row>
    <row r="44" spans="1:18" x14ac:dyDescent="0.2">
      <c r="B44" s="60" t="s">
        <v>345</v>
      </c>
      <c r="C44" s="54" t="s">
        <v>414</v>
      </c>
      <c r="D44" s="60">
        <f t="shared" si="1"/>
        <v>39</v>
      </c>
      <c r="E44" s="52">
        <v>383.4</v>
      </c>
      <c r="F44" s="60">
        <v>10</v>
      </c>
      <c r="G44" s="60">
        <v>80</v>
      </c>
      <c r="H44" s="60">
        <v>4</v>
      </c>
      <c r="J44" s="60">
        <v>7</v>
      </c>
      <c r="K44" s="60">
        <v>9</v>
      </c>
      <c r="L44" s="63"/>
      <c r="M44" s="60" t="s">
        <v>1030</v>
      </c>
      <c r="O44" s="60">
        <v>1.4999999999999999E-2</v>
      </c>
      <c r="P44" s="60">
        <v>1.4999999999999999E-2</v>
      </c>
      <c r="R44" s="60">
        <v>0.09</v>
      </c>
    </row>
    <row r="45" spans="1:18" x14ac:dyDescent="0.2">
      <c r="B45" s="60" t="s">
        <v>346</v>
      </c>
      <c r="C45" s="54" t="s">
        <v>414</v>
      </c>
      <c r="D45" s="60">
        <f t="shared" si="1"/>
        <v>40</v>
      </c>
      <c r="E45" s="52">
        <v>465.4</v>
      </c>
      <c r="F45" s="60">
        <v>10</v>
      </c>
      <c r="G45" s="60">
        <v>80</v>
      </c>
      <c r="H45" s="60">
        <v>4</v>
      </c>
      <c r="J45" s="60">
        <v>7</v>
      </c>
      <c r="K45" s="60">
        <v>9</v>
      </c>
      <c r="L45" s="63"/>
      <c r="M45" s="60" t="s">
        <v>323</v>
      </c>
      <c r="O45" s="60">
        <v>3.3000000000000002E-2</v>
      </c>
      <c r="P45" s="60">
        <v>3.9E-2</v>
      </c>
      <c r="R45" s="60">
        <v>3.9E-2</v>
      </c>
    </row>
    <row r="46" spans="1:18" x14ac:dyDescent="0.2">
      <c r="B46" s="60" t="s">
        <v>347</v>
      </c>
      <c r="C46" s="54" t="s">
        <v>414</v>
      </c>
      <c r="D46" s="60">
        <f t="shared" si="1"/>
        <v>41</v>
      </c>
      <c r="E46" s="52">
        <v>264.5</v>
      </c>
      <c r="F46" s="60">
        <v>10</v>
      </c>
      <c r="G46" s="60">
        <v>80</v>
      </c>
      <c r="H46" s="60">
        <v>4</v>
      </c>
      <c r="J46" s="60">
        <v>7</v>
      </c>
      <c r="K46" s="60">
        <v>9</v>
      </c>
      <c r="L46" s="63"/>
      <c r="M46" s="60" t="s">
        <v>1032</v>
      </c>
      <c r="O46" s="60">
        <v>0.08</v>
      </c>
      <c r="P46" s="60">
        <v>0.08</v>
      </c>
      <c r="R46" s="60">
        <v>8.5000000000000006E-2</v>
      </c>
    </row>
    <row r="47" spans="1:18" x14ac:dyDescent="0.2">
      <c r="A47" s="52"/>
      <c r="B47" s="60" t="s">
        <v>349</v>
      </c>
      <c r="C47" s="54" t="s">
        <v>414</v>
      </c>
      <c r="D47" s="60">
        <f t="shared" si="1"/>
        <v>42</v>
      </c>
      <c r="E47" s="52">
        <v>319.2</v>
      </c>
      <c r="F47" s="60">
        <v>10</v>
      </c>
      <c r="G47" s="60">
        <v>80</v>
      </c>
      <c r="H47" s="60">
        <v>4</v>
      </c>
      <c r="J47" s="60">
        <v>7</v>
      </c>
      <c r="K47" s="60">
        <v>9</v>
      </c>
      <c r="L47" s="63"/>
      <c r="M47" s="60" t="s">
        <v>1033</v>
      </c>
      <c r="O47" s="60">
        <v>3.1800000000000002E-2</v>
      </c>
      <c r="P47" s="60">
        <v>3.1800000000000002E-2</v>
      </c>
      <c r="R47" s="60">
        <v>3.1800000000000002E-2</v>
      </c>
    </row>
    <row r="48" spans="1:18" x14ac:dyDescent="0.2">
      <c r="A48" s="52"/>
      <c r="B48" s="60" t="s">
        <v>348</v>
      </c>
      <c r="C48" s="54" t="s">
        <v>414</v>
      </c>
      <c r="D48" s="60">
        <f t="shared" si="1"/>
        <v>43</v>
      </c>
      <c r="E48" s="52">
        <v>394.6</v>
      </c>
      <c r="F48" s="60">
        <v>10</v>
      </c>
      <c r="G48" s="60">
        <v>80</v>
      </c>
      <c r="H48" s="60">
        <v>4</v>
      </c>
      <c r="J48" s="60">
        <v>7</v>
      </c>
      <c r="K48" s="60">
        <v>9</v>
      </c>
      <c r="L48" s="63"/>
      <c r="M48" s="60" t="s">
        <v>1031</v>
      </c>
      <c r="O48" s="60">
        <v>0.09</v>
      </c>
      <c r="P48" s="60">
        <v>0.09</v>
      </c>
      <c r="R48" s="60">
        <v>8.5000000000000006E-2</v>
      </c>
    </row>
    <row r="49" spans="2:18" x14ac:dyDescent="0.2">
      <c r="B49" s="60" t="s">
        <v>350</v>
      </c>
      <c r="C49" s="54" t="s">
        <v>414</v>
      </c>
      <c r="D49" s="60">
        <f t="shared" si="1"/>
        <v>44</v>
      </c>
      <c r="E49" s="52">
        <v>385.1</v>
      </c>
      <c r="F49" s="60">
        <v>10</v>
      </c>
      <c r="G49" s="60">
        <v>80</v>
      </c>
      <c r="H49" s="60">
        <v>4</v>
      </c>
      <c r="J49" s="60">
        <v>7</v>
      </c>
      <c r="K49" s="60">
        <v>9</v>
      </c>
      <c r="L49" s="63"/>
      <c r="M49" s="60" t="s">
        <v>1034</v>
      </c>
      <c r="O49" s="60">
        <v>0.03</v>
      </c>
      <c r="P49" s="60">
        <v>0.03</v>
      </c>
      <c r="R49" s="60">
        <v>0.03</v>
      </c>
    </row>
    <row r="50" spans="2:18" x14ac:dyDescent="0.2">
      <c r="B50" s="60" t="s">
        <v>351</v>
      </c>
      <c r="C50" s="54" t="s">
        <v>414</v>
      </c>
      <c r="D50" s="60">
        <f t="shared" si="1"/>
        <v>45</v>
      </c>
      <c r="E50" s="52">
        <v>635.1</v>
      </c>
      <c r="F50" s="60">
        <v>35</v>
      </c>
      <c r="G50" s="60">
        <v>80</v>
      </c>
      <c r="H50" s="60">
        <v>0</v>
      </c>
      <c r="J50" s="60">
        <v>7.5</v>
      </c>
      <c r="K50" s="60">
        <v>12.5</v>
      </c>
      <c r="L50" s="63"/>
    </row>
    <row r="51" spans="2:18" ht="15" x14ac:dyDescent="0.25">
      <c r="B51" s="60" t="s">
        <v>417</v>
      </c>
      <c r="C51" s="54" t="s">
        <v>414</v>
      </c>
      <c r="D51" s="60">
        <f t="shared" si="1"/>
        <v>46</v>
      </c>
      <c r="E51" s="52">
        <v>452.6</v>
      </c>
      <c r="F51" s="60">
        <v>35</v>
      </c>
      <c r="G51" s="60">
        <v>80</v>
      </c>
      <c r="H51" s="60">
        <v>0</v>
      </c>
      <c r="J51" s="60">
        <v>7.5</v>
      </c>
      <c r="K51" s="60">
        <v>12.5</v>
      </c>
      <c r="L51" s="63"/>
      <c r="M51" s="60" t="s">
        <v>1146</v>
      </c>
      <c r="N51" s="43"/>
      <c r="O51" s="43"/>
      <c r="P51" s="43"/>
      <c r="Q51" s="43"/>
      <c r="R51" s="43"/>
    </row>
    <row r="52" spans="2:18" ht="15" x14ac:dyDescent="0.25">
      <c r="B52" s="60" t="s">
        <v>352</v>
      </c>
      <c r="C52" s="54" t="s">
        <v>414</v>
      </c>
      <c r="D52" s="60">
        <f t="shared" si="1"/>
        <v>47</v>
      </c>
      <c r="E52" s="52">
        <v>901.8</v>
      </c>
      <c r="F52" s="60">
        <v>35</v>
      </c>
      <c r="G52" s="60">
        <v>80</v>
      </c>
      <c r="H52" s="60">
        <v>0</v>
      </c>
      <c r="J52" s="60">
        <v>7.5</v>
      </c>
      <c r="K52" s="60">
        <v>12.5</v>
      </c>
      <c r="L52" s="63"/>
      <c r="M52" s="60" t="s">
        <v>1030</v>
      </c>
      <c r="N52" s="43"/>
      <c r="O52" s="43"/>
      <c r="P52" s="43"/>
      <c r="Q52" s="43"/>
      <c r="R52" s="60">
        <v>0</v>
      </c>
    </row>
    <row r="53" spans="2:18" ht="15" x14ac:dyDescent="0.25">
      <c r="B53" s="60" t="s">
        <v>416</v>
      </c>
      <c r="C53" s="54" t="s">
        <v>414</v>
      </c>
      <c r="D53" s="60">
        <f t="shared" si="1"/>
        <v>48</v>
      </c>
      <c r="E53" s="52">
        <v>687.5</v>
      </c>
      <c r="F53" s="60">
        <v>35</v>
      </c>
      <c r="G53" s="60">
        <v>80</v>
      </c>
      <c r="H53" s="60">
        <v>0</v>
      </c>
      <c r="J53" s="60">
        <v>7.5</v>
      </c>
      <c r="K53" s="60">
        <v>12.5</v>
      </c>
      <c r="L53" s="63"/>
      <c r="M53" s="60" t="s">
        <v>323</v>
      </c>
      <c r="N53" s="43"/>
      <c r="O53" s="43"/>
      <c r="P53" s="43"/>
      <c r="Q53" s="43"/>
      <c r="R53" s="60">
        <v>0</v>
      </c>
    </row>
    <row r="54" spans="2:18" ht="15" x14ac:dyDescent="0.25">
      <c r="B54" s="60" t="s">
        <v>353</v>
      </c>
      <c r="C54" s="54" t="s">
        <v>414</v>
      </c>
      <c r="D54" s="60">
        <f t="shared" si="1"/>
        <v>49</v>
      </c>
      <c r="E54" s="52">
        <v>754.6</v>
      </c>
      <c r="F54" s="60">
        <v>35</v>
      </c>
      <c r="G54" s="60">
        <v>80</v>
      </c>
      <c r="H54" s="60">
        <v>0</v>
      </c>
      <c r="J54" s="60">
        <v>7.5</v>
      </c>
      <c r="K54" s="60">
        <v>12.5</v>
      </c>
      <c r="L54" s="63"/>
      <c r="M54" s="60" t="s">
        <v>1032</v>
      </c>
      <c r="N54" s="43"/>
      <c r="O54" s="43"/>
      <c r="P54" s="43"/>
      <c r="Q54" s="43"/>
      <c r="R54" s="60">
        <v>0</v>
      </c>
    </row>
    <row r="55" spans="2:18" ht="15" x14ac:dyDescent="0.25">
      <c r="B55" s="60" t="s">
        <v>418</v>
      </c>
      <c r="C55" s="54" t="s">
        <v>414</v>
      </c>
      <c r="D55" s="60">
        <f t="shared" si="1"/>
        <v>50</v>
      </c>
      <c r="E55" s="52">
        <v>576</v>
      </c>
      <c r="F55" s="60">
        <v>35</v>
      </c>
      <c r="G55" s="60">
        <v>80</v>
      </c>
      <c r="H55" s="60">
        <v>0</v>
      </c>
      <c r="J55" s="60">
        <v>7.5</v>
      </c>
      <c r="K55" s="60">
        <v>12.5</v>
      </c>
      <c r="L55" s="63"/>
      <c r="M55" s="60" t="s">
        <v>1033</v>
      </c>
      <c r="N55" s="43"/>
      <c r="O55" s="43"/>
      <c r="P55" s="43"/>
      <c r="Q55" s="43"/>
      <c r="R55" s="60">
        <v>0</v>
      </c>
    </row>
    <row r="56" spans="2:18" ht="15" x14ac:dyDescent="0.25">
      <c r="B56" s="60" t="s">
        <v>420</v>
      </c>
      <c r="C56" s="54" t="s">
        <v>414</v>
      </c>
      <c r="D56" s="60">
        <f t="shared" si="1"/>
        <v>51</v>
      </c>
      <c r="E56" s="52">
        <v>927.8</v>
      </c>
      <c r="F56" s="60">
        <v>35</v>
      </c>
      <c r="G56" s="60">
        <v>80</v>
      </c>
      <c r="H56" s="60">
        <v>0</v>
      </c>
      <c r="J56" s="60">
        <v>7.5</v>
      </c>
      <c r="K56" s="60">
        <v>12.5</v>
      </c>
      <c r="L56" s="63"/>
      <c r="M56" s="60" t="s">
        <v>1031</v>
      </c>
      <c r="N56" s="43"/>
      <c r="O56" s="43"/>
      <c r="P56" s="43"/>
      <c r="Q56" s="43"/>
      <c r="R56" s="60">
        <v>0</v>
      </c>
    </row>
    <row r="57" spans="2:18" ht="15" x14ac:dyDescent="0.25">
      <c r="B57" s="60" t="s">
        <v>354</v>
      </c>
      <c r="C57" s="54" t="s">
        <v>414</v>
      </c>
      <c r="D57" s="60">
        <f t="shared" si="1"/>
        <v>52</v>
      </c>
      <c r="E57" s="52">
        <v>988.6</v>
      </c>
      <c r="F57" s="60">
        <v>35</v>
      </c>
      <c r="G57" s="60">
        <v>80</v>
      </c>
      <c r="H57" s="60">
        <v>0</v>
      </c>
      <c r="J57" s="60">
        <v>7.5</v>
      </c>
      <c r="K57" s="60">
        <v>12.5</v>
      </c>
      <c r="L57" s="63"/>
      <c r="M57" s="60" t="s">
        <v>1034</v>
      </c>
      <c r="N57" s="43"/>
      <c r="O57" s="43"/>
      <c r="P57" s="43"/>
      <c r="Q57" s="43"/>
      <c r="R57" s="60">
        <v>0</v>
      </c>
    </row>
    <row r="58" spans="2:18" x14ac:dyDescent="0.2">
      <c r="B58" s="60" t="s">
        <v>419</v>
      </c>
      <c r="C58" s="54" t="s">
        <v>414</v>
      </c>
      <c r="D58" s="60">
        <f t="shared" si="1"/>
        <v>53</v>
      </c>
      <c r="E58" s="52">
        <v>852.4</v>
      </c>
      <c r="F58" s="60">
        <v>35</v>
      </c>
      <c r="G58" s="60">
        <v>80</v>
      </c>
      <c r="H58" s="60">
        <v>0</v>
      </c>
      <c r="J58" s="60">
        <v>7.5</v>
      </c>
      <c r="K58" s="60">
        <v>12.5</v>
      </c>
      <c r="L58" s="63"/>
    </row>
    <row r="59" spans="2:18" x14ac:dyDescent="0.2">
      <c r="B59" s="60" t="s">
        <v>355</v>
      </c>
      <c r="C59" s="54" t="s">
        <v>414</v>
      </c>
      <c r="D59" s="60">
        <f t="shared" si="1"/>
        <v>54</v>
      </c>
      <c r="E59" s="52">
        <v>811.6</v>
      </c>
      <c r="F59" s="60">
        <v>110</v>
      </c>
      <c r="G59" s="60">
        <v>80</v>
      </c>
      <c r="H59" s="60">
        <v>0</v>
      </c>
      <c r="J59" s="60">
        <v>7.5</v>
      </c>
      <c r="K59" s="60">
        <v>12.5</v>
      </c>
      <c r="L59" s="63"/>
    </row>
    <row r="60" spans="2:18" x14ac:dyDescent="0.2">
      <c r="B60" s="60" t="s">
        <v>421</v>
      </c>
      <c r="C60" s="54" t="s">
        <v>414</v>
      </c>
      <c r="D60" s="60">
        <f t="shared" si="1"/>
        <v>55</v>
      </c>
      <c r="E60" s="52">
        <v>662.3</v>
      </c>
      <c r="F60" s="60">
        <v>110</v>
      </c>
      <c r="G60" s="60">
        <v>80</v>
      </c>
      <c r="H60" s="60">
        <v>0</v>
      </c>
      <c r="J60" s="60">
        <v>7.5</v>
      </c>
      <c r="K60" s="60">
        <v>12.5</v>
      </c>
      <c r="L60" s="63"/>
    </row>
    <row r="61" spans="2:18" x14ac:dyDescent="0.2">
      <c r="B61" s="60" t="s">
        <v>356</v>
      </c>
      <c r="C61" s="54" t="s">
        <v>414</v>
      </c>
      <c r="D61" s="60">
        <f t="shared" si="1"/>
        <v>56</v>
      </c>
      <c r="E61" s="52">
        <v>1282.4000000000001</v>
      </c>
      <c r="F61" s="60">
        <v>110</v>
      </c>
      <c r="G61" s="60">
        <v>80</v>
      </c>
      <c r="H61" s="60">
        <v>0</v>
      </c>
      <c r="J61" s="60">
        <v>7.5</v>
      </c>
      <c r="K61" s="60">
        <v>12.5</v>
      </c>
      <c r="L61" s="63"/>
    </row>
    <row r="62" spans="2:18" x14ac:dyDescent="0.2">
      <c r="B62" s="60" t="s">
        <v>422</v>
      </c>
      <c r="C62" s="54" t="s">
        <v>414</v>
      </c>
      <c r="D62" s="60">
        <f t="shared" si="1"/>
        <v>57</v>
      </c>
      <c r="E62" s="52">
        <v>971.5</v>
      </c>
      <c r="F62" s="60">
        <v>110</v>
      </c>
      <c r="G62" s="60">
        <v>80</v>
      </c>
      <c r="H62" s="60">
        <v>0</v>
      </c>
      <c r="J62" s="60">
        <v>7.5</v>
      </c>
      <c r="K62" s="60">
        <v>12.5</v>
      </c>
      <c r="L62" s="63"/>
    </row>
    <row r="63" spans="2:18" x14ac:dyDescent="0.2">
      <c r="B63" s="60" t="s">
        <v>426</v>
      </c>
      <c r="C63" s="54" t="s">
        <v>414</v>
      </c>
      <c r="D63" s="60">
        <f t="shared" si="1"/>
        <v>58</v>
      </c>
      <c r="E63" s="52">
        <v>2822.1</v>
      </c>
      <c r="F63" s="60">
        <v>110</v>
      </c>
      <c r="G63" s="60">
        <v>80</v>
      </c>
      <c r="H63" s="60">
        <v>0</v>
      </c>
      <c r="J63" s="60">
        <v>7.5</v>
      </c>
      <c r="K63" s="60">
        <v>12.5</v>
      </c>
      <c r="L63" s="63"/>
    </row>
    <row r="64" spans="2:18" x14ac:dyDescent="0.2">
      <c r="B64" s="60" t="s">
        <v>423</v>
      </c>
      <c r="C64" s="54" t="s">
        <v>414</v>
      </c>
      <c r="D64" s="60">
        <f t="shared" si="1"/>
        <v>59</v>
      </c>
      <c r="E64" s="52">
        <v>905.7</v>
      </c>
      <c r="F64" s="60">
        <v>110</v>
      </c>
      <c r="G64" s="60">
        <v>80</v>
      </c>
      <c r="H64" s="60">
        <v>0</v>
      </c>
      <c r="J64" s="60">
        <v>7.5</v>
      </c>
      <c r="K64" s="60">
        <v>12.5</v>
      </c>
      <c r="L64" s="63"/>
    </row>
    <row r="65" spans="2:12" x14ac:dyDescent="0.2">
      <c r="B65" s="60" t="s">
        <v>424</v>
      </c>
      <c r="C65" s="54" t="s">
        <v>414</v>
      </c>
      <c r="D65" s="60">
        <f t="shared" si="1"/>
        <v>60</v>
      </c>
      <c r="E65" s="52">
        <v>716.5</v>
      </c>
      <c r="F65" s="60">
        <v>110</v>
      </c>
      <c r="G65" s="60">
        <v>80</v>
      </c>
      <c r="H65" s="60">
        <v>0</v>
      </c>
      <c r="J65" s="60">
        <v>7.5</v>
      </c>
      <c r="K65" s="60">
        <v>12.5</v>
      </c>
      <c r="L65" s="63"/>
    </row>
    <row r="66" spans="2:12" x14ac:dyDescent="0.2">
      <c r="B66" s="60" t="s">
        <v>425</v>
      </c>
      <c r="C66" s="54" t="s">
        <v>414</v>
      </c>
      <c r="D66" s="60">
        <f t="shared" si="1"/>
        <v>61</v>
      </c>
      <c r="E66" s="52">
        <v>1500.1</v>
      </c>
      <c r="F66" s="60">
        <v>110</v>
      </c>
      <c r="G66" s="60">
        <v>80</v>
      </c>
      <c r="H66" s="60">
        <v>0</v>
      </c>
      <c r="J66" s="60">
        <v>7.5</v>
      </c>
      <c r="K66" s="60">
        <v>12.5</v>
      </c>
      <c r="L66" s="63"/>
    </row>
    <row r="67" spans="2:12" x14ac:dyDescent="0.2">
      <c r="B67" s="60" t="s">
        <v>428</v>
      </c>
      <c r="C67" s="54" t="s">
        <v>414</v>
      </c>
      <c r="D67" s="60">
        <f t="shared" si="1"/>
        <v>62</v>
      </c>
      <c r="E67" s="52">
        <v>1345.1</v>
      </c>
      <c r="F67" s="60">
        <v>110</v>
      </c>
      <c r="G67" s="60">
        <v>80</v>
      </c>
      <c r="H67" s="60">
        <v>0</v>
      </c>
      <c r="J67" s="60">
        <v>7.5</v>
      </c>
      <c r="K67" s="60">
        <v>12.5</v>
      </c>
      <c r="L67" s="63"/>
    </row>
    <row r="68" spans="2:12" x14ac:dyDescent="0.2">
      <c r="B68" s="60" t="s">
        <v>429</v>
      </c>
      <c r="C68" s="54" t="s">
        <v>414</v>
      </c>
      <c r="D68" s="60">
        <f t="shared" si="1"/>
        <v>63</v>
      </c>
      <c r="E68" s="52">
        <v>1372.8</v>
      </c>
      <c r="F68" s="60">
        <v>110</v>
      </c>
      <c r="G68" s="60">
        <v>80</v>
      </c>
      <c r="H68" s="60">
        <v>0</v>
      </c>
      <c r="J68" s="60">
        <v>7.5</v>
      </c>
      <c r="K68" s="60">
        <v>12.5</v>
      </c>
      <c r="L68" s="63"/>
    </row>
    <row r="69" spans="2:12" x14ac:dyDescent="0.2">
      <c r="B69" s="60" t="s">
        <v>430</v>
      </c>
      <c r="C69" s="54" t="s">
        <v>414</v>
      </c>
      <c r="D69" s="60">
        <f t="shared" si="1"/>
        <v>64</v>
      </c>
      <c r="E69" s="52">
        <v>1068.9000000000001</v>
      </c>
      <c r="F69" s="60">
        <v>110</v>
      </c>
      <c r="G69" s="60">
        <v>80</v>
      </c>
      <c r="H69" s="60">
        <v>0</v>
      </c>
      <c r="J69" s="60">
        <v>7.5</v>
      </c>
      <c r="K69" s="60">
        <v>12.5</v>
      </c>
      <c r="L69" s="63"/>
    </row>
    <row r="70" spans="2:12" x14ac:dyDescent="0.2">
      <c r="B70" s="60" t="s">
        <v>431</v>
      </c>
      <c r="C70" s="54" t="s">
        <v>414</v>
      </c>
      <c r="D70" s="60">
        <f t="shared" si="1"/>
        <v>65</v>
      </c>
      <c r="E70" s="52">
        <v>1799.4</v>
      </c>
      <c r="F70" s="60">
        <v>110</v>
      </c>
      <c r="G70" s="60">
        <v>80</v>
      </c>
      <c r="H70" s="60">
        <v>0</v>
      </c>
      <c r="J70" s="60">
        <v>7.5</v>
      </c>
      <c r="K70" s="60">
        <v>12.5</v>
      </c>
      <c r="L70" s="63"/>
    </row>
    <row r="71" spans="2:12" x14ac:dyDescent="0.2">
      <c r="B71" s="60" t="s">
        <v>432</v>
      </c>
      <c r="C71" s="54" t="s">
        <v>414</v>
      </c>
      <c r="D71" s="60">
        <f t="shared" si="1"/>
        <v>66</v>
      </c>
      <c r="E71" s="52">
        <v>3257.4</v>
      </c>
      <c r="F71" s="60">
        <v>110</v>
      </c>
      <c r="G71" s="60">
        <v>80</v>
      </c>
      <c r="H71" s="60">
        <v>0</v>
      </c>
      <c r="J71" s="60">
        <v>7.5</v>
      </c>
      <c r="K71" s="60">
        <v>12.5</v>
      </c>
      <c r="L71" s="63"/>
    </row>
    <row r="72" spans="2:12" x14ac:dyDescent="0.2">
      <c r="B72" s="60" t="s">
        <v>357</v>
      </c>
      <c r="C72" s="54" t="s">
        <v>414</v>
      </c>
      <c r="D72" s="60">
        <f t="shared" si="1"/>
        <v>67</v>
      </c>
      <c r="E72" s="52">
        <v>1004.6</v>
      </c>
      <c r="F72" s="60">
        <v>220</v>
      </c>
      <c r="G72" s="60">
        <v>80</v>
      </c>
      <c r="H72" s="60">
        <v>0</v>
      </c>
      <c r="J72" s="60">
        <v>7.5</v>
      </c>
      <c r="K72" s="60">
        <v>12.5</v>
      </c>
      <c r="L72" s="63"/>
    </row>
    <row r="73" spans="2:12" x14ac:dyDescent="0.2">
      <c r="B73" s="60" t="s">
        <v>358</v>
      </c>
      <c r="C73" s="54" t="s">
        <v>414</v>
      </c>
      <c r="D73" s="60">
        <f t="shared" si="1"/>
        <v>68</v>
      </c>
      <c r="E73" s="52">
        <v>1586.4</v>
      </c>
      <c r="F73" s="60">
        <v>220</v>
      </c>
      <c r="G73" s="60">
        <v>80</v>
      </c>
      <c r="H73" s="60">
        <v>0</v>
      </c>
      <c r="J73" s="60">
        <v>7.5</v>
      </c>
      <c r="K73" s="60">
        <v>12.5</v>
      </c>
      <c r="L73" s="63"/>
    </row>
    <row r="74" spans="2:12" x14ac:dyDescent="0.2">
      <c r="B74" s="60" t="s">
        <v>359</v>
      </c>
      <c r="C74" s="54" t="s">
        <v>414</v>
      </c>
      <c r="D74" s="60">
        <f t="shared" si="1"/>
        <v>69</v>
      </c>
      <c r="E74" s="52">
        <v>1380.8</v>
      </c>
      <c r="F74" s="60">
        <v>220</v>
      </c>
      <c r="G74" s="60">
        <v>80</v>
      </c>
      <c r="H74" s="60">
        <v>0</v>
      </c>
      <c r="J74" s="60">
        <v>7.5</v>
      </c>
      <c r="K74" s="60">
        <v>12.5</v>
      </c>
      <c r="L74" s="63"/>
    </row>
    <row r="75" spans="2:12" x14ac:dyDescent="0.2">
      <c r="B75" s="60" t="s">
        <v>360</v>
      </c>
      <c r="C75" s="54" t="s">
        <v>414</v>
      </c>
      <c r="D75" s="60">
        <f t="shared" si="1"/>
        <v>70</v>
      </c>
      <c r="E75" s="52">
        <v>1724.8</v>
      </c>
      <c r="F75" s="60">
        <v>220</v>
      </c>
      <c r="G75" s="60">
        <v>80</v>
      </c>
      <c r="H75" s="60">
        <v>0</v>
      </c>
      <c r="J75" s="60">
        <v>7.5</v>
      </c>
      <c r="K75" s="60">
        <v>12.5</v>
      </c>
      <c r="L75" s="63"/>
    </row>
    <row r="76" spans="2:12" x14ac:dyDescent="0.2">
      <c r="B76" s="60" t="s">
        <v>361</v>
      </c>
      <c r="C76" s="54" t="s">
        <v>414</v>
      </c>
      <c r="D76" s="60">
        <f t="shared" si="1"/>
        <v>71</v>
      </c>
      <c r="E76" s="52">
        <v>2036.7</v>
      </c>
      <c r="F76" s="60">
        <v>220</v>
      </c>
      <c r="G76" s="60">
        <v>80</v>
      </c>
      <c r="H76" s="60">
        <v>0</v>
      </c>
      <c r="J76" s="60">
        <v>7.5</v>
      </c>
      <c r="K76" s="60">
        <v>12.5</v>
      </c>
      <c r="L76" s="63"/>
    </row>
    <row r="77" spans="2:12" x14ac:dyDescent="0.2">
      <c r="B77" s="60" t="s">
        <v>362</v>
      </c>
      <c r="C77" s="54" t="s">
        <v>414</v>
      </c>
      <c r="D77" s="60">
        <f t="shared" si="1"/>
        <v>72</v>
      </c>
      <c r="E77" s="52">
        <v>1084.3</v>
      </c>
      <c r="F77" s="60">
        <v>220</v>
      </c>
      <c r="G77" s="60">
        <v>80</v>
      </c>
      <c r="H77" s="60">
        <v>0</v>
      </c>
      <c r="J77" s="60">
        <v>7.5</v>
      </c>
      <c r="K77" s="60">
        <v>12.5</v>
      </c>
      <c r="L77" s="63"/>
    </row>
    <row r="78" spans="2:12" x14ac:dyDescent="0.2">
      <c r="B78" s="60" t="s">
        <v>363</v>
      </c>
      <c r="C78" s="54" t="s">
        <v>414</v>
      </c>
      <c r="D78" s="60">
        <f t="shared" si="1"/>
        <v>73</v>
      </c>
      <c r="E78" s="52">
        <v>1598</v>
      </c>
      <c r="F78" s="60">
        <v>220</v>
      </c>
      <c r="G78" s="60">
        <v>80</v>
      </c>
      <c r="H78" s="60">
        <v>0</v>
      </c>
      <c r="J78" s="60">
        <v>7.5</v>
      </c>
      <c r="K78" s="60">
        <v>12.5</v>
      </c>
      <c r="L78" s="63"/>
    </row>
    <row r="79" spans="2:12" x14ac:dyDescent="0.2">
      <c r="B79" s="60" t="s">
        <v>364</v>
      </c>
      <c r="C79" s="54" t="s">
        <v>414</v>
      </c>
      <c r="D79" s="60">
        <f t="shared" si="1"/>
        <v>74</v>
      </c>
      <c r="E79" s="52">
        <v>1364.5</v>
      </c>
      <c r="F79" s="60">
        <v>220</v>
      </c>
      <c r="G79" s="60">
        <v>80</v>
      </c>
      <c r="H79" s="60">
        <v>0</v>
      </c>
      <c r="J79" s="60">
        <v>7.5</v>
      </c>
      <c r="K79" s="60">
        <v>12.5</v>
      </c>
      <c r="L79" s="63"/>
    </row>
    <row r="80" spans="2:12" x14ac:dyDescent="0.2">
      <c r="B80" s="60" t="s">
        <v>366</v>
      </c>
      <c r="C80" s="54" t="s">
        <v>414</v>
      </c>
      <c r="D80" s="60">
        <f t="shared" si="1"/>
        <v>75</v>
      </c>
      <c r="E80" s="52">
        <v>2384.16</v>
      </c>
      <c r="F80" s="60">
        <v>220</v>
      </c>
      <c r="G80" s="60">
        <v>80</v>
      </c>
      <c r="H80" s="60">
        <v>0</v>
      </c>
      <c r="J80" s="60">
        <v>7.5</v>
      </c>
      <c r="K80" s="60">
        <v>12.5</v>
      </c>
      <c r="L80" s="63"/>
    </row>
    <row r="81" spans="1:12" x14ac:dyDescent="0.2">
      <c r="B81" s="60" t="s">
        <v>365</v>
      </c>
      <c r="C81" s="54" t="s">
        <v>414</v>
      </c>
      <c r="D81" s="60">
        <f t="shared" si="1"/>
        <v>76</v>
      </c>
      <c r="E81" s="52">
        <v>2026.5</v>
      </c>
      <c r="F81" s="60">
        <v>220</v>
      </c>
      <c r="G81" s="60">
        <v>80</v>
      </c>
      <c r="H81" s="60">
        <v>0</v>
      </c>
      <c r="J81" s="60">
        <v>7.5</v>
      </c>
      <c r="K81" s="60">
        <v>12.5</v>
      </c>
      <c r="L81" s="63"/>
    </row>
    <row r="82" spans="1:12" x14ac:dyDescent="0.2">
      <c r="B82" s="60" t="s">
        <v>929</v>
      </c>
      <c r="D82" s="55"/>
      <c r="F82" s="60">
        <v>0.4</v>
      </c>
      <c r="G82" s="60">
        <v>71.5</v>
      </c>
      <c r="H82" s="60">
        <v>0.5</v>
      </c>
      <c r="J82" s="60">
        <v>25</v>
      </c>
      <c r="K82" s="60">
        <v>3</v>
      </c>
      <c r="L82" s="63"/>
    </row>
    <row r="83" spans="1:12" x14ac:dyDescent="0.2">
      <c r="B83" s="60" t="s">
        <v>930</v>
      </c>
      <c r="D83" s="55"/>
      <c r="F83" s="60">
        <v>10</v>
      </c>
      <c r="G83" s="60">
        <v>71.5</v>
      </c>
      <c r="H83" s="60">
        <v>0.5</v>
      </c>
      <c r="J83" s="60">
        <v>25</v>
      </c>
      <c r="K83" s="60">
        <v>3</v>
      </c>
      <c r="L83" s="63"/>
    </row>
    <row r="84" spans="1:12" x14ac:dyDescent="0.2">
      <c r="B84" s="60" t="s">
        <v>931</v>
      </c>
      <c r="D84" s="55"/>
      <c r="F84" s="60">
        <v>0.4</v>
      </c>
      <c r="G84" s="60">
        <v>71.5</v>
      </c>
      <c r="H84" s="60">
        <v>0.5</v>
      </c>
      <c r="J84" s="60">
        <v>25</v>
      </c>
      <c r="K84" s="60">
        <v>3</v>
      </c>
      <c r="L84" s="63"/>
    </row>
    <row r="85" spans="1:12" x14ac:dyDescent="0.2">
      <c r="B85" s="60" t="s">
        <v>932</v>
      </c>
      <c r="D85" s="55"/>
      <c r="F85" s="60">
        <v>10</v>
      </c>
      <c r="G85" s="60">
        <v>71.5</v>
      </c>
      <c r="H85" s="60">
        <v>0.5</v>
      </c>
      <c r="J85" s="60">
        <v>25</v>
      </c>
      <c r="K85" s="60">
        <v>3</v>
      </c>
      <c r="L85" s="63"/>
    </row>
    <row r="86" spans="1:12" x14ac:dyDescent="0.2">
      <c r="D86" s="55"/>
      <c r="L86" s="63"/>
    </row>
    <row r="87" spans="1:12" x14ac:dyDescent="0.2">
      <c r="A87" s="60">
        <v>2.2000000000000002</v>
      </c>
      <c r="B87" s="47" t="s">
        <v>460</v>
      </c>
      <c r="D87" s="55"/>
      <c r="E87" s="52" t="s">
        <v>1328</v>
      </c>
      <c r="L87" s="63"/>
    </row>
    <row r="88" spans="1:12" x14ac:dyDescent="0.2">
      <c r="B88" s="60" t="s">
        <v>442</v>
      </c>
      <c r="C88" s="54" t="s">
        <v>444</v>
      </c>
      <c r="D88" s="55"/>
      <c r="E88" s="52">
        <v>200</v>
      </c>
      <c r="F88" s="60">
        <v>0.4</v>
      </c>
      <c r="K88" s="60">
        <v>100</v>
      </c>
      <c r="L88" s="63"/>
    </row>
    <row r="89" spans="1:12" x14ac:dyDescent="0.2">
      <c r="B89" s="60" t="s">
        <v>443</v>
      </c>
      <c r="C89" s="54" t="s">
        <v>444</v>
      </c>
      <c r="D89" s="55"/>
      <c r="E89" s="52">
        <v>200</v>
      </c>
      <c r="F89" s="60">
        <v>0.4</v>
      </c>
      <c r="K89" s="60">
        <v>100</v>
      </c>
      <c r="L89" s="63"/>
    </row>
    <row r="90" spans="1:12" x14ac:dyDescent="0.2">
      <c r="B90" s="60" t="s">
        <v>446</v>
      </c>
      <c r="C90" s="54" t="s">
        <v>445</v>
      </c>
      <c r="D90" s="55"/>
      <c r="E90" s="52">
        <v>100</v>
      </c>
      <c r="F90" s="60">
        <v>10</v>
      </c>
      <c r="K90" s="60">
        <v>100</v>
      </c>
      <c r="L90" s="63"/>
    </row>
    <row r="91" spans="1:12" x14ac:dyDescent="0.2">
      <c r="B91" s="60" t="s">
        <v>447</v>
      </c>
      <c r="C91" s="54" t="s">
        <v>445</v>
      </c>
      <c r="D91" s="55"/>
      <c r="E91" s="52">
        <v>100</v>
      </c>
      <c r="F91" s="60">
        <v>10</v>
      </c>
      <c r="K91" s="60">
        <v>100</v>
      </c>
      <c r="L91" s="63"/>
    </row>
    <row r="92" spans="1:12" x14ac:dyDescent="0.2">
      <c r="B92" s="60" t="s">
        <v>448</v>
      </c>
      <c r="C92" s="54" t="s">
        <v>454</v>
      </c>
      <c r="D92" s="55"/>
      <c r="E92" s="52">
        <v>88</v>
      </c>
      <c r="F92" s="60">
        <v>35</v>
      </c>
      <c r="K92" s="60">
        <v>100</v>
      </c>
      <c r="L92" s="63"/>
    </row>
    <row r="93" spans="1:12" x14ac:dyDescent="0.2">
      <c r="B93" s="60" t="s">
        <v>449</v>
      </c>
      <c r="C93" s="54" t="s">
        <v>454</v>
      </c>
      <c r="D93" s="55"/>
      <c r="E93" s="52">
        <v>120</v>
      </c>
      <c r="F93" s="60">
        <v>35</v>
      </c>
      <c r="K93" s="60">
        <v>100</v>
      </c>
      <c r="L93" s="63"/>
    </row>
    <row r="94" spans="1:12" x14ac:dyDescent="0.2">
      <c r="B94" s="60" t="s">
        <v>450</v>
      </c>
      <c r="C94" s="54" t="s">
        <v>454</v>
      </c>
      <c r="D94" s="55"/>
      <c r="E94" s="52">
        <v>44</v>
      </c>
      <c r="F94" s="60">
        <v>35</v>
      </c>
      <c r="K94" s="60">
        <v>100</v>
      </c>
      <c r="L94" s="63"/>
    </row>
    <row r="95" spans="1:12" x14ac:dyDescent="0.2">
      <c r="B95" s="60" t="s">
        <v>453</v>
      </c>
      <c r="C95" s="54" t="s">
        <v>455</v>
      </c>
      <c r="D95" s="55"/>
      <c r="E95" s="52">
        <v>67.5</v>
      </c>
      <c r="F95" s="60">
        <v>110</v>
      </c>
      <c r="K95" s="60">
        <v>100</v>
      </c>
      <c r="L95" s="63"/>
    </row>
    <row r="96" spans="1:12" x14ac:dyDescent="0.2">
      <c r="B96" s="60" t="s">
        <v>451</v>
      </c>
      <c r="C96" s="54" t="s">
        <v>455</v>
      </c>
      <c r="D96" s="55"/>
      <c r="E96" s="52">
        <v>75</v>
      </c>
      <c r="F96" s="60">
        <v>110</v>
      </c>
      <c r="K96" s="60">
        <v>100</v>
      </c>
      <c r="L96" s="63"/>
    </row>
    <row r="97" spans="1:12" x14ac:dyDescent="0.2">
      <c r="B97" s="60" t="s">
        <v>452</v>
      </c>
      <c r="C97" s="54" t="s">
        <v>455</v>
      </c>
      <c r="D97" s="55"/>
      <c r="E97" s="52">
        <v>27.5</v>
      </c>
      <c r="F97" s="60">
        <v>110</v>
      </c>
      <c r="K97" s="60">
        <v>100</v>
      </c>
      <c r="L97" s="63"/>
    </row>
    <row r="98" spans="1:12" x14ac:dyDescent="0.2">
      <c r="B98" s="60" t="s">
        <v>458</v>
      </c>
      <c r="C98" s="54" t="s">
        <v>457</v>
      </c>
      <c r="D98" s="55"/>
      <c r="E98" s="52">
        <v>48</v>
      </c>
      <c r="F98" s="60">
        <v>220</v>
      </c>
      <c r="K98" s="60">
        <v>100</v>
      </c>
      <c r="L98" s="63"/>
    </row>
    <row r="99" spans="1:12" x14ac:dyDescent="0.2">
      <c r="B99" s="60" t="s">
        <v>456</v>
      </c>
      <c r="C99" s="54" t="s">
        <v>457</v>
      </c>
      <c r="D99" s="55"/>
      <c r="E99" s="52">
        <v>90</v>
      </c>
      <c r="F99" s="60">
        <v>220</v>
      </c>
      <c r="K99" s="60">
        <v>100</v>
      </c>
      <c r="L99" s="63"/>
    </row>
    <row r="100" spans="1:12" x14ac:dyDescent="0.2">
      <c r="B100" s="60" t="s">
        <v>459</v>
      </c>
      <c r="C100" s="54" t="s">
        <v>457</v>
      </c>
      <c r="D100" s="55"/>
      <c r="E100" s="52">
        <v>72</v>
      </c>
      <c r="F100" s="60">
        <v>220</v>
      </c>
      <c r="K100" s="60">
        <v>100</v>
      </c>
      <c r="L100" s="63"/>
    </row>
    <row r="101" spans="1:12" x14ac:dyDescent="0.2">
      <c r="B101" s="60" t="s">
        <v>368</v>
      </c>
      <c r="D101" s="55"/>
      <c r="E101" s="52">
        <v>115</v>
      </c>
      <c r="F101" s="60">
        <v>330</v>
      </c>
      <c r="K101" s="60">
        <v>100</v>
      </c>
      <c r="L101" s="63"/>
    </row>
    <row r="102" spans="1:12" x14ac:dyDescent="0.2">
      <c r="B102" s="60" t="s">
        <v>369</v>
      </c>
      <c r="D102" s="55"/>
      <c r="E102" s="52">
        <v>90</v>
      </c>
      <c r="F102" s="60">
        <v>330</v>
      </c>
      <c r="K102" s="60">
        <v>100</v>
      </c>
      <c r="L102" s="63"/>
    </row>
    <row r="103" spans="1:12" x14ac:dyDescent="0.2">
      <c r="B103" s="60" t="s">
        <v>370</v>
      </c>
      <c r="D103" s="55"/>
      <c r="E103" s="52">
        <v>70</v>
      </c>
      <c r="F103" s="60">
        <v>500</v>
      </c>
      <c r="K103" s="60">
        <v>100</v>
      </c>
      <c r="L103" s="63"/>
    </row>
    <row r="104" spans="1:12" x14ac:dyDescent="0.2">
      <c r="B104" s="60" t="s">
        <v>371</v>
      </c>
      <c r="D104" s="55"/>
      <c r="E104" s="52">
        <v>520</v>
      </c>
      <c r="F104" s="60">
        <v>750</v>
      </c>
      <c r="K104" s="60">
        <v>100</v>
      </c>
      <c r="L104" s="63"/>
    </row>
    <row r="105" spans="1:12" x14ac:dyDescent="0.2">
      <c r="B105" s="60" t="s">
        <v>372</v>
      </c>
      <c r="D105" s="55"/>
      <c r="E105" s="52">
        <v>1215</v>
      </c>
      <c r="F105" s="60">
        <v>750</v>
      </c>
      <c r="K105" s="60">
        <v>100</v>
      </c>
      <c r="L105" s="63"/>
    </row>
    <row r="106" spans="1:12" x14ac:dyDescent="0.2">
      <c r="B106" s="60" t="s">
        <v>373</v>
      </c>
      <c r="D106" s="55"/>
      <c r="E106" s="52">
        <v>170</v>
      </c>
      <c r="F106" s="60">
        <v>750</v>
      </c>
      <c r="K106" s="60">
        <v>100</v>
      </c>
      <c r="L106" s="63"/>
    </row>
    <row r="107" spans="1:12" x14ac:dyDescent="0.2">
      <c r="D107" s="55"/>
      <c r="L107" s="63"/>
    </row>
    <row r="108" spans="1:12" x14ac:dyDescent="0.2">
      <c r="A108" s="60">
        <v>3</v>
      </c>
      <c r="B108" s="47" t="s">
        <v>367</v>
      </c>
      <c r="D108" s="55"/>
      <c r="L108" s="63"/>
    </row>
    <row r="109" spans="1:12" x14ac:dyDescent="0.2">
      <c r="B109" s="60" t="s">
        <v>374</v>
      </c>
      <c r="C109" s="54" t="s">
        <v>461</v>
      </c>
      <c r="D109" s="55" t="s">
        <v>439</v>
      </c>
      <c r="E109" s="52">
        <v>68</v>
      </c>
      <c r="F109" s="60">
        <v>10</v>
      </c>
      <c r="G109" s="60">
        <v>80</v>
      </c>
      <c r="J109" s="60">
        <v>7.5</v>
      </c>
      <c r="K109" s="60">
        <v>12.5</v>
      </c>
      <c r="L109" s="63"/>
    </row>
    <row r="110" spans="1:12" x14ac:dyDescent="0.2">
      <c r="B110" s="60" t="s">
        <v>375</v>
      </c>
      <c r="C110" s="54" t="s">
        <v>461</v>
      </c>
      <c r="D110" s="55" t="s">
        <v>414</v>
      </c>
      <c r="E110" s="52">
        <v>105</v>
      </c>
      <c r="F110" s="60">
        <v>35</v>
      </c>
      <c r="G110" s="60">
        <v>80</v>
      </c>
      <c r="J110" s="60">
        <v>7.5</v>
      </c>
      <c r="K110" s="60">
        <v>12.5</v>
      </c>
      <c r="L110" s="63"/>
    </row>
    <row r="111" spans="1:12" x14ac:dyDescent="0.2">
      <c r="B111" s="60" t="s">
        <v>376</v>
      </c>
      <c r="C111" s="54" t="s">
        <v>461</v>
      </c>
      <c r="D111" s="55" t="s">
        <v>461</v>
      </c>
      <c r="E111" s="52">
        <v>165</v>
      </c>
      <c r="F111" s="60">
        <v>110</v>
      </c>
      <c r="G111" s="60">
        <v>80</v>
      </c>
      <c r="J111" s="60">
        <v>7.5</v>
      </c>
      <c r="K111" s="60">
        <v>12.5</v>
      </c>
      <c r="L111" s="63"/>
    </row>
    <row r="112" spans="1:12" x14ac:dyDescent="0.2">
      <c r="B112" s="60" t="s">
        <v>377</v>
      </c>
      <c r="C112" s="54" t="s">
        <v>461</v>
      </c>
      <c r="D112" s="55" t="s">
        <v>472</v>
      </c>
      <c r="E112" s="52">
        <v>290</v>
      </c>
      <c r="F112" s="60">
        <v>220</v>
      </c>
      <c r="G112" s="60">
        <v>80</v>
      </c>
      <c r="J112" s="60">
        <v>7.5</v>
      </c>
      <c r="K112" s="60">
        <v>12.5</v>
      </c>
      <c r="L112" s="63"/>
    </row>
    <row r="113" spans="1:12" x14ac:dyDescent="0.2">
      <c r="B113" s="60" t="s">
        <v>1175</v>
      </c>
      <c r="C113" s="54" t="s">
        <v>461</v>
      </c>
      <c r="D113" s="55" t="s">
        <v>463</v>
      </c>
      <c r="E113" s="52">
        <v>407.5</v>
      </c>
      <c r="F113" s="60">
        <v>0.4</v>
      </c>
      <c r="G113" s="60">
        <v>80</v>
      </c>
      <c r="H113" s="60">
        <v>4</v>
      </c>
      <c r="J113" s="60">
        <v>7</v>
      </c>
      <c r="K113" s="60">
        <v>9</v>
      </c>
      <c r="L113" s="63"/>
    </row>
    <row r="114" spans="1:12" x14ac:dyDescent="0.2">
      <c r="B114" s="60" t="s">
        <v>1176</v>
      </c>
      <c r="C114" s="54" t="s">
        <v>461</v>
      </c>
      <c r="D114" s="55" t="s">
        <v>466</v>
      </c>
      <c r="E114" s="52">
        <v>407.5</v>
      </c>
      <c r="F114" s="60">
        <v>10</v>
      </c>
      <c r="G114" s="60">
        <v>80</v>
      </c>
      <c r="J114" s="60">
        <v>7.5</v>
      </c>
      <c r="K114" s="60">
        <v>12.5</v>
      </c>
      <c r="L114" s="63"/>
    </row>
    <row r="115" spans="1:12" x14ac:dyDescent="0.2">
      <c r="B115" s="60" t="s">
        <v>1177</v>
      </c>
      <c r="C115" s="54" t="s">
        <v>461</v>
      </c>
      <c r="D115" s="55" t="s">
        <v>483</v>
      </c>
      <c r="E115" s="52">
        <v>407.5</v>
      </c>
      <c r="F115" s="60">
        <v>35</v>
      </c>
      <c r="G115" s="60">
        <v>80</v>
      </c>
      <c r="J115" s="60">
        <v>7.5</v>
      </c>
      <c r="K115" s="60">
        <v>12.5</v>
      </c>
      <c r="L115" s="63"/>
    </row>
    <row r="116" spans="1:12" x14ac:dyDescent="0.2">
      <c r="B116" s="60" t="s">
        <v>1177</v>
      </c>
      <c r="C116" s="54" t="s">
        <v>461</v>
      </c>
      <c r="D116" s="55" t="s">
        <v>484</v>
      </c>
      <c r="E116" s="52">
        <v>407.5</v>
      </c>
      <c r="F116" s="60">
        <v>110</v>
      </c>
      <c r="G116" s="60">
        <v>80</v>
      </c>
      <c r="J116" s="60">
        <v>7.5</v>
      </c>
      <c r="K116" s="60">
        <v>12.5</v>
      </c>
      <c r="L116" s="63"/>
    </row>
    <row r="117" spans="1:12" x14ac:dyDescent="0.2">
      <c r="B117" s="60" t="s">
        <v>1178</v>
      </c>
      <c r="C117" s="54" t="s">
        <v>461</v>
      </c>
      <c r="D117" s="55" t="s">
        <v>485</v>
      </c>
      <c r="E117" s="52">
        <v>407.5</v>
      </c>
      <c r="F117" s="60">
        <v>220</v>
      </c>
      <c r="G117" s="60">
        <v>80</v>
      </c>
      <c r="J117" s="60">
        <v>7.5</v>
      </c>
      <c r="K117" s="60">
        <v>12.5</v>
      </c>
      <c r="L117" s="63"/>
    </row>
    <row r="118" spans="1:12" x14ac:dyDescent="0.2">
      <c r="B118" s="60" t="s">
        <v>1179</v>
      </c>
      <c r="C118" s="54" t="s">
        <v>461</v>
      </c>
      <c r="D118" s="55" t="s">
        <v>486</v>
      </c>
      <c r="E118" s="52">
        <v>809</v>
      </c>
      <c r="F118" s="60">
        <v>0.4</v>
      </c>
      <c r="G118" s="60">
        <v>80</v>
      </c>
      <c r="H118" s="60">
        <v>4</v>
      </c>
      <c r="J118" s="60">
        <v>7</v>
      </c>
      <c r="K118" s="60">
        <v>9</v>
      </c>
      <c r="L118" s="63"/>
    </row>
    <row r="119" spans="1:12" x14ac:dyDescent="0.2">
      <c r="B119" s="60" t="s">
        <v>1180</v>
      </c>
      <c r="C119" s="54" t="s">
        <v>461</v>
      </c>
      <c r="D119" s="55" t="s">
        <v>487</v>
      </c>
      <c r="E119" s="52">
        <v>809</v>
      </c>
      <c r="F119" s="60">
        <v>10</v>
      </c>
      <c r="G119" s="60">
        <v>80</v>
      </c>
      <c r="J119" s="60">
        <v>7.5</v>
      </c>
      <c r="K119" s="60">
        <v>12.5</v>
      </c>
      <c r="L119" s="63"/>
    </row>
    <row r="120" spans="1:12" x14ac:dyDescent="0.2">
      <c r="B120" s="60" t="s">
        <v>1181</v>
      </c>
      <c r="C120" s="54" t="s">
        <v>461</v>
      </c>
      <c r="D120" s="55" t="s">
        <v>488</v>
      </c>
      <c r="E120" s="52">
        <v>809</v>
      </c>
      <c r="F120" s="60">
        <v>35</v>
      </c>
      <c r="G120" s="60">
        <v>80</v>
      </c>
      <c r="J120" s="60">
        <v>7.5</v>
      </c>
      <c r="K120" s="60">
        <v>12.5</v>
      </c>
      <c r="L120" s="63"/>
    </row>
    <row r="121" spans="1:12" x14ac:dyDescent="0.2">
      <c r="B121" s="60" t="s">
        <v>1182</v>
      </c>
      <c r="C121" s="54" t="s">
        <v>461</v>
      </c>
      <c r="D121" s="55" t="s">
        <v>489</v>
      </c>
      <c r="E121" s="52">
        <v>809</v>
      </c>
      <c r="F121" s="60">
        <v>110</v>
      </c>
      <c r="G121" s="60">
        <v>80</v>
      </c>
      <c r="J121" s="60">
        <v>7.5</v>
      </c>
      <c r="K121" s="60">
        <v>12.5</v>
      </c>
      <c r="L121" s="63"/>
    </row>
    <row r="122" spans="1:12" x14ac:dyDescent="0.2">
      <c r="B122" s="60" t="s">
        <v>1183</v>
      </c>
      <c r="C122" s="54" t="s">
        <v>461</v>
      </c>
      <c r="D122" s="55" t="s">
        <v>490</v>
      </c>
      <c r="E122" s="52">
        <v>809</v>
      </c>
      <c r="F122" s="60">
        <v>220</v>
      </c>
      <c r="G122" s="60">
        <v>80</v>
      </c>
      <c r="J122" s="60">
        <v>7.5</v>
      </c>
      <c r="K122" s="60">
        <v>12.5</v>
      </c>
      <c r="L122" s="63"/>
    </row>
    <row r="123" spans="1:12" x14ac:dyDescent="0.2">
      <c r="D123" s="55"/>
      <c r="L123" s="63"/>
    </row>
    <row r="124" spans="1:12" x14ac:dyDescent="0.2">
      <c r="A124" s="60">
        <v>5</v>
      </c>
      <c r="B124" s="47" t="s">
        <v>462</v>
      </c>
      <c r="D124" s="55"/>
      <c r="L124" s="63"/>
    </row>
    <row r="125" spans="1:12" x14ac:dyDescent="0.2">
      <c r="B125" s="60" t="s">
        <v>378</v>
      </c>
      <c r="C125" s="54" t="s">
        <v>463</v>
      </c>
      <c r="D125" s="55" t="s">
        <v>439</v>
      </c>
      <c r="E125" s="52">
        <v>86.6</v>
      </c>
      <c r="F125" s="60">
        <v>35</v>
      </c>
      <c r="G125" s="60">
        <v>80</v>
      </c>
      <c r="J125" s="60">
        <v>7.5</v>
      </c>
      <c r="K125" s="60">
        <v>12.5</v>
      </c>
      <c r="L125" s="63"/>
    </row>
    <row r="126" spans="1:12" x14ac:dyDescent="0.2">
      <c r="B126" s="60" t="s">
        <v>379</v>
      </c>
      <c r="C126" s="54" t="s">
        <v>463</v>
      </c>
      <c r="D126" s="55" t="s">
        <v>414</v>
      </c>
      <c r="E126" s="52">
        <v>123.7</v>
      </c>
      <c r="F126" s="60">
        <v>110</v>
      </c>
      <c r="G126" s="60">
        <v>80</v>
      </c>
      <c r="J126" s="60">
        <v>7.5</v>
      </c>
      <c r="K126" s="60">
        <v>12.5</v>
      </c>
      <c r="L126" s="63"/>
    </row>
    <row r="127" spans="1:12" x14ac:dyDescent="0.2">
      <c r="B127" s="60" t="s">
        <v>380</v>
      </c>
      <c r="C127" s="54" t="s">
        <v>463</v>
      </c>
      <c r="D127" s="55" t="s">
        <v>461</v>
      </c>
      <c r="E127" s="52">
        <v>228.3</v>
      </c>
      <c r="F127" s="60">
        <v>110</v>
      </c>
      <c r="G127" s="60">
        <v>80</v>
      </c>
      <c r="J127" s="60">
        <v>7.5</v>
      </c>
      <c r="K127" s="60">
        <v>12.5</v>
      </c>
      <c r="L127" s="63"/>
    </row>
    <row r="128" spans="1:12" x14ac:dyDescent="0.2">
      <c r="B128" s="60" t="s">
        <v>464</v>
      </c>
      <c r="C128" s="54" t="s">
        <v>463</v>
      </c>
      <c r="D128" s="55" t="s">
        <v>472</v>
      </c>
      <c r="E128" s="52">
        <v>213.6</v>
      </c>
      <c r="F128" s="60">
        <v>220</v>
      </c>
      <c r="G128" s="60">
        <v>80</v>
      </c>
      <c r="J128" s="60">
        <v>7.5</v>
      </c>
      <c r="K128" s="60">
        <v>12.5</v>
      </c>
      <c r="L128" s="63"/>
    </row>
    <row r="129" spans="1:12" x14ac:dyDescent="0.2">
      <c r="B129" s="60" t="s">
        <v>465</v>
      </c>
      <c r="C129" s="54" t="s">
        <v>463</v>
      </c>
      <c r="D129" s="55" t="s">
        <v>463</v>
      </c>
      <c r="E129" s="52">
        <v>254.3</v>
      </c>
      <c r="F129" s="60">
        <v>220</v>
      </c>
      <c r="G129" s="60">
        <v>80</v>
      </c>
      <c r="J129" s="60">
        <v>7.5</v>
      </c>
      <c r="K129" s="60">
        <v>12.5</v>
      </c>
      <c r="L129" s="63"/>
    </row>
    <row r="130" spans="1:12" x14ac:dyDescent="0.2">
      <c r="D130" s="55"/>
      <c r="L130" s="63"/>
    </row>
    <row r="131" spans="1:12" x14ac:dyDescent="0.2">
      <c r="A131" s="60">
        <v>6</v>
      </c>
      <c r="B131" s="47" t="s">
        <v>381</v>
      </c>
      <c r="D131" s="55"/>
      <c r="L131" s="63"/>
    </row>
    <row r="132" spans="1:12" x14ac:dyDescent="0.2">
      <c r="B132" s="60" t="s">
        <v>382</v>
      </c>
      <c r="C132" s="54" t="s">
        <v>466</v>
      </c>
      <c r="D132" s="55" t="s">
        <v>461</v>
      </c>
      <c r="E132" s="52">
        <v>50.8</v>
      </c>
      <c r="F132" s="60">
        <v>10</v>
      </c>
      <c r="G132" s="60">
        <v>45.5</v>
      </c>
      <c r="H132" s="60">
        <v>39</v>
      </c>
      <c r="I132" s="60">
        <v>2.5</v>
      </c>
      <c r="J132" s="60">
        <v>7</v>
      </c>
      <c r="K132" s="60">
        <v>6</v>
      </c>
      <c r="L132" s="63"/>
    </row>
    <row r="133" spans="1:12" x14ac:dyDescent="0.2">
      <c r="B133" s="60" t="s">
        <v>384</v>
      </c>
      <c r="C133" s="54" t="s">
        <v>466</v>
      </c>
      <c r="D133" s="55" t="s">
        <v>472</v>
      </c>
      <c r="E133" s="52">
        <v>62.4</v>
      </c>
      <c r="F133" s="60">
        <v>10</v>
      </c>
      <c r="G133" s="60">
        <v>45.5</v>
      </c>
      <c r="H133" s="60">
        <v>39</v>
      </c>
      <c r="I133" s="60">
        <v>2.5</v>
      </c>
      <c r="J133" s="60">
        <v>7</v>
      </c>
      <c r="K133" s="60">
        <v>6</v>
      </c>
      <c r="L133" s="63"/>
    </row>
    <row r="134" spans="1:12" x14ac:dyDescent="0.2">
      <c r="B134" s="60" t="s">
        <v>385</v>
      </c>
      <c r="C134" s="54" t="s">
        <v>466</v>
      </c>
      <c r="D134" s="55" t="s">
        <v>463</v>
      </c>
      <c r="E134" s="52">
        <v>87.3</v>
      </c>
      <c r="F134" s="60">
        <v>10</v>
      </c>
      <c r="G134" s="60">
        <v>45.5</v>
      </c>
      <c r="H134" s="60">
        <v>39</v>
      </c>
      <c r="I134" s="60">
        <v>2.5</v>
      </c>
      <c r="J134" s="60">
        <v>7</v>
      </c>
      <c r="K134" s="60">
        <v>6</v>
      </c>
      <c r="L134" s="63"/>
    </row>
    <row r="135" spans="1:12" x14ac:dyDescent="0.2">
      <c r="B135" s="60" t="s">
        <v>386</v>
      </c>
      <c r="C135" s="54" t="s">
        <v>466</v>
      </c>
      <c r="D135" s="55" t="s">
        <v>466</v>
      </c>
      <c r="E135" s="52">
        <v>98.6</v>
      </c>
      <c r="F135" s="60">
        <v>10</v>
      </c>
      <c r="G135" s="60">
        <v>45.5</v>
      </c>
      <c r="H135" s="60">
        <v>39</v>
      </c>
      <c r="I135" s="60">
        <v>2.5</v>
      </c>
      <c r="J135" s="60">
        <v>7</v>
      </c>
      <c r="K135" s="60">
        <v>6</v>
      </c>
      <c r="L135" s="63"/>
    </row>
    <row r="136" spans="1:12" x14ac:dyDescent="0.2">
      <c r="B136" s="60" t="s">
        <v>383</v>
      </c>
      <c r="C136" s="54" t="s">
        <v>466</v>
      </c>
      <c r="D136" s="55" t="s">
        <v>486</v>
      </c>
      <c r="E136" s="52">
        <v>154</v>
      </c>
      <c r="F136" s="60">
        <v>10</v>
      </c>
      <c r="G136" s="60">
        <v>45.5</v>
      </c>
      <c r="H136" s="60">
        <v>39</v>
      </c>
      <c r="I136" s="60">
        <v>2.5</v>
      </c>
      <c r="J136" s="60">
        <v>7</v>
      </c>
      <c r="K136" s="60">
        <v>6</v>
      </c>
      <c r="L136" s="63"/>
    </row>
    <row r="137" spans="1:12" x14ac:dyDescent="0.2">
      <c r="B137" s="60" t="s">
        <v>387</v>
      </c>
      <c r="C137" s="54" t="s">
        <v>466</v>
      </c>
      <c r="D137" s="55" t="s">
        <v>487</v>
      </c>
      <c r="E137" s="52">
        <v>204.7</v>
      </c>
      <c r="F137" s="60">
        <v>10</v>
      </c>
      <c r="G137" s="60">
        <v>45.5</v>
      </c>
      <c r="H137" s="60">
        <v>39</v>
      </c>
      <c r="I137" s="60">
        <v>2.5</v>
      </c>
      <c r="J137" s="60">
        <v>7</v>
      </c>
      <c r="K137" s="60">
        <v>6</v>
      </c>
      <c r="L137" s="63"/>
    </row>
    <row r="138" spans="1:12" x14ac:dyDescent="0.2">
      <c r="B138" s="60" t="s">
        <v>388</v>
      </c>
      <c r="C138" s="54" t="s">
        <v>466</v>
      </c>
      <c r="D138" s="55" t="s">
        <v>488</v>
      </c>
      <c r="E138" s="52">
        <v>298.89999999999998</v>
      </c>
      <c r="F138" s="60">
        <v>10</v>
      </c>
      <c r="G138" s="60">
        <v>45.5</v>
      </c>
      <c r="H138" s="60">
        <v>39</v>
      </c>
      <c r="I138" s="60">
        <v>2.5</v>
      </c>
      <c r="J138" s="60">
        <v>7</v>
      </c>
      <c r="K138" s="60">
        <v>6</v>
      </c>
      <c r="L138" s="63"/>
    </row>
    <row r="139" spans="1:12" x14ac:dyDescent="0.2">
      <c r="B139" s="60" t="s">
        <v>389</v>
      </c>
      <c r="C139" s="54" t="s">
        <v>466</v>
      </c>
      <c r="D139" s="55" t="s">
        <v>489</v>
      </c>
      <c r="E139" s="52">
        <v>479.8</v>
      </c>
      <c r="F139" s="60">
        <v>10</v>
      </c>
      <c r="G139" s="60">
        <v>45.5</v>
      </c>
      <c r="H139" s="60">
        <v>39</v>
      </c>
      <c r="I139" s="60">
        <v>2.5</v>
      </c>
      <c r="J139" s="60">
        <v>7</v>
      </c>
      <c r="K139" s="60">
        <v>6</v>
      </c>
      <c r="L139" s="63"/>
    </row>
    <row r="140" spans="1:12" x14ac:dyDescent="0.2">
      <c r="B140" s="60" t="s">
        <v>390</v>
      </c>
      <c r="C140" s="54" t="s">
        <v>466</v>
      </c>
      <c r="D140" s="55" t="s">
        <v>490</v>
      </c>
      <c r="E140" s="52">
        <v>258</v>
      </c>
      <c r="F140" s="60">
        <v>10</v>
      </c>
      <c r="G140" s="60">
        <v>45.5</v>
      </c>
      <c r="H140" s="60">
        <v>39</v>
      </c>
      <c r="I140" s="60">
        <v>2.5</v>
      </c>
      <c r="J140" s="60">
        <v>7</v>
      </c>
      <c r="K140" s="60">
        <v>6</v>
      </c>
      <c r="L140" s="63"/>
    </row>
    <row r="141" spans="1:12" x14ac:dyDescent="0.2">
      <c r="B141" s="60" t="s">
        <v>391</v>
      </c>
      <c r="C141" s="54" t="s">
        <v>466</v>
      </c>
      <c r="D141" s="55" t="s">
        <v>491</v>
      </c>
      <c r="E141" s="52">
        <v>405.4</v>
      </c>
      <c r="F141" s="60">
        <v>10</v>
      </c>
      <c r="G141" s="60">
        <v>45.5</v>
      </c>
      <c r="H141" s="60">
        <v>39</v>
      </c>
      <c r="I141" s="60">
        <v>2.5</v>
      </c>
      <c r="J141" s="60">
        <v>7</v>
      </c>
      <c r="K141" s="60">
        <v>6</v>
      </c>
      <c r="L141" s="63"/>
    </row>
    <row r="142" spans="1:12" x14ac:dyDescent="0.2">
      <c r="B142" s="60" t="s">
        <v>392</v>
      </c>
      <c r="C142" s="54" t="s">
        <v>466</v>
      </c>
      <c r="D142" s="55" t="s">
        <v>492</v>
      </c>
      <c r="E142" s="52">
        <v>597.79999999999995</v>
      </c>
      <c r="F142" s="60">
        <v>10</v>
      </c>
      <c r="G142" s="60">
        <v>45.5</v>
      </c>
      <c r="H142" s="60">
        <v>39</v>
      </c>
      <c r="I142" s="60">
        <v>2.5</v>
      </c>
      <c r="J142" s="60">
        <v>7</v>
      </c>
      <c r="K142" s="60">
        <v>6</v>
      </c>
      <c r="L142" s="63"/>
    </row>
    <row r="143" spans="1:12" x14ac:dyDescent="0.2">
      <c r="B143" s="60" t="s">
        <v>393</v>
      </c>
      <c r="C143" s="54" t="s">
        <v>466</v>
      </c>
      <c r="D143" s="55" t="s">
        <v>495</v>
      </c>
      <c r="E143" s="52">
        <v>1770.7</v>
      </c>
      <c r="F143" s="60">
        <v>10</v>
      </c>
      <c r="G143" s="60">
        <v>45.5</v>
      </c>
      <c r="H143" s="60">
        <v>39</v>
      </c>
      <c r="I143" s="60">
        <v>2.5</v>
      </c>
      <c r="J143" s="60">
        <v>7</v>
      </c>
      <c r="K143" s="60">
        <v>6</v>
      </c>
      <c r="L143" s="63"/>
    </row>
    <row r="144" spans="1:12" x14ac:dyDescent="0.2">
      <c r="B144" s="60" t="s">
        <v>467</v>
      </c>
      <c r="C144" s="54" t="s">
        <v>466</v>
      </c>
      <c r="D144" s="55" t="s">
        <v>496</v>
      </c>
      <c r="E144" s="52">
        <v>2153.8000000000002</v>
      </c>
      <c r="F144" s="60">
        <v>10</v>
      </c>
      <c r="G144" s="60">
        <v>45.5</v>
      </c>
      <c r="H144" s="60">
        <v>39</v>
      </c>
      <c r="I144" s="60">
        <v>2.5</v>
      </c>
      <c r="J144" s="60">
        <v>7</v>
      </c>
      <c r="K144" s="60">
        <v>6</v>
      </c>
      <c r="L144" s="63"/>
    </row>
    <row r="145" spans="1:12" x14ac:dyDescent="0.2">
      <c r="B145" s="60" t="s">
        <v>468</v>
      </c>
      <c r="C145" s="54" t="s">
        <v>466</v>
      </c>
      <c r="D145" s="55" t="s">
        <v>497</v>
      </c>
      <c r="E145" s="52">
        <v>2574.5</v>
      </c>
      <c r="F145" s="60">
        <v>10</v>
      </c>
      <c r="G145" s="60">
        <v>45.5</v>
      </c>
      <c r="H145" s="60">
        <v>39</v>
      </c>
      <c r="I145" s="60">
        <v>2.5</v>
      </c>
      <c r="J145" s="60">
        <v>7</v>
      </c>
      <c r="K145" s="60">
        <v>6</v>
      </c>
      <c r="L145" s="63"/>
    </row>
    <row r="146" spans="1:12" x14ac:dyDescent="0.2">
      <c r="B146" s="60" t="s">
        <v>1397</v>
      </c>
      <c r="C146" s="54" t="s">
        <v>483</v>
      </c>
      <c r="D146" s="55">
        <v>22</v>
      </c>
      <c r="E146" s="52">
        <v>276</v>
      </c>
      <c r="F146" s="60">
        <v>10</v>
      </c>
      <c r="G146" s="60">
        <v>45.5</v>
      </c>
      <c r="H146" s="60">
        <v>39</v>
      </c>
      <c r="I146" s="60">
        <v>2.5</v>
      </c>
      <c r="J146" s="60">
        <v>7</v>
      </c>
      <c r="K146" s="60">
        <v>6</v>
      </c>
      <c r="L146" s="63"/>
    </row>
    <row r="147" spans="1:12" x14ac:dyDescent="0.2">
      <c r="D147" s="55"/>
      <c r="L147" s="63"/>
    </row>
    <row r="148" spans="1:12" x14ac:dyDescent="0.2">
      <c r="A148" s="60">
        <v>31</v>
      </c>
      <c r="B148" s="47" t="s">
        <v>840</v>
      </c>
      <c r="D148" s="55"/>
      <c r="L148" s="63"/>
    </row>
    <row r="149" spans="1:12" x14ac:dyDescent="0.2">
      <c r="B149" s="60" t="s">
        <v>844</v>
      </c>
      <c r="C149" s="54" t="s">
        <v>845</v>
      </c>
      <c r="D149" s="55" t="s">
        <v>439</v>
      </c>
      <c r="E149" s="52">
        <v>6.4</v>
      </c>
      <c r="F149" s="60">
        <v>0.4</v>
      </c>
      <c r="G149" s="60">
        <v>80</v>
      </c>
      <c r="H149" s="60">
        <v>4</v>
      </c>
      <c r="J149" s="60">
        <v>7</v>
      </c>
      <c r="K149" s="60">
        <v>9</v>
      </c>
      <c r="L149" s="63"/>
    </row>
    <row r="150" spans="1:12" x14ac:dyDescent="0.2">
      <c r="B150" s="60" t="s">
        <v>843</v>
      </c>
      <c r="C150" s="54" t="s">
        <v>845</v>
      </c>
      <c r="D150" s="55" t="s">
        <v>439</v>
      </c>
      <c r="E150" s="52">
        <v>7.9</v>
      </c>
      <c r="F150" s="60">
        <v>10</v>
      </c>
      <c r="G150" s="60">
        <v>80</v>
      </c>
      <c r="H150" s="60">
        <v>4</v>
      </c>
      <c r="J150" s="60">
        <v>7</v>
      </c>
      <c r="K150" s="60">
        <v>9</v>
      </c>
      <c r="L150" s="63"/>
    </row>
    <row r="151" spans="1:12" x14ac:dyDescent="0.2">
      <c r="B151" s="60" t="s">
        <v>842</v>
      </c>
      <c r="C151" s="54" t="s">
        <v>845</v>
      </c>
      <c r="D151" s="55" t="s">
        <v>414</v>
      </c>
      <c r="E151" s="52">
        <v>5.7</v>
      </c>
      <c r="F151" s="60">
        <v>0.4</v>
      </c>
      <c r="G151" s="60">
        <v>80</v>
      </c>
      <c r="H151" s="60">
        <v>4</v>
      </c>
      <c r="J151" s="60">
        <v>7</v>
      </c>
      <c r="K151" s="60">
        <v>9</v>
      </c>
      <c r="L151" s="63"/>
    </row>
    <row r="152" spans="1:12" x14ac:dyDescent="0.2">
      <c r="B152" s="60" t="s">
        <v>841</v>
      </c>
      <c r="C152" s="54" t="s">
        <v>845</v>
      </c>
      <c r="D152" s="55" t="s">
        <v>414</v>
      </c>
      <c r="E152" s="52">
        <v>6.3</v>
      </c>
      <c r="F152" s="60">
        <v>10</v>
      </c>
      <c r="G152" s="60">
        <v>80</v>
      </c>
      <c r="H152" s="60">
        <v>4</v>
      </c>
      <c r="J152" s="60">
        <v>7</v>
      </c>
      <c r="K152" s="60">
        <v>9</v>
      </c>
      <c r="L152" s="63"/>
    </row>
    <row r="153" spans="1:12" x14ac:dyDescent="0.2">
      <c r="B153" s="60" t="s">
        <v>846</v>
      </c>
      <c r="C153" s="54" t="s">
        <v>845</v>
      </c>
      <c r="D153" s="55" t="s">
        <v>461</v>
      </c>
      <c r="E153" s="52">
        <v>4.29</v>
      </c>
      <c r="F153" s="60">
        <v>10</v>
      </c>
      <c r="G153" s="60">
        <v>80</v>
      </c>
      <c r="H153" s="60">
        <v>4</v>
      </c>
      <c r="J153" s="60">
        <v>7</v>
      </c>
      <c r="K153" s="60">
        <v>9</v>
      </c>
      <c r="L153" s="63"/>
    </row>
    <row r="154" spans="1:12" x14ac:dyDescent="0.2">
      <c r="A154" s="60">
        <v>32</v>
      </c>
      <c r="B154" s="60" t="s">
        <v>851</v>
      </c>
      <c r="C154" s="54" t="s">
        <v>847</v>
      </c>
      <c r="D154" s="55" t="s">
        <v>439</v>
      </c>
      <c r="E154" s="52">
        <v>10.199999999999999</v>
      </c>
      <c r="F154" s="60">
        <v>35</v>
      </c>
      <c r="G154" s="60">
        <v>80</v>
      </c>
      <c r="H154" s="60">
        <v>0</v>
      </c>
      <c r="J154" s="60">
        <v>7.5</v>
      </c>
      <c r="K154" s="60">
        <v>12.5</v>
      </c>
      <c r="L154" s="63"/>
    </row>
    <row r="155" spans="1:12" x14ac:dyDescent="0.2">
      <c r="B155" s="60" t="s">
        <v>852</v>
      </c>
      <c r="C155" s="54" t="s">
        <v>847</v>
      </c>
      <c r="D155" s="55" t="s">
        <v>439</v>
      </c>
      <c r="E155" s="52">
        <v>13.7</v>
      </c>
      <c r="F155" s="60">
        <v>110</v>
      </c>
      <c r="G155" s="60">
        <v>80</v>
      </c>
      <c r="H155" s="60">
        <v>0</v>
      </c>
      <c r="J155" s="60">
        <v>7.5</v>
      </c>
      <c r="K155" s="60">
        <v>12.5</v>
      </c>
      <c r="L155" s="63"/>
    </row>
    <row r="156" spans="1:12" x14ac:dyDescent="0.2">
      <c r="B156" s="60" t="s">
        <v>853</v>
      </c>
      <c r="C156" s="54" t="s">
        <v>847</v>
      </c>
      <c r="D156" s="55" t="s">
        <v>439</v>
      </c>
      <c r="E156" s="52">
        <v>16.100000000000001</v>
      </c>
      <c r="F156" s="60">
        <v>220</v>
      </c>
      <c r="G156" s="60">
        <v>80</v>
      </c>
      <c r="H156" s="60">
        <v>0</v>
      </c>
      <c r="J156" s="60">
        <v>7.5</v>
      </c>
      <c r="K156" s="60">
        <v>12.5</v>
      </c>
      <c r="L156" s="63"/>
    </row>
    <row r="157" spans="1:12" x14ac:dyDescent="0.2">
      <c r="B157" s="60" t="s">
        <v>848</v>
      </c>
      <c r="C157" s="54" t="s">
        <v>847</v>
      </c>
      <c r="D157" s="55" t="s">
        <v>856</v>
      </c>
      <c r="E157" s="52">
        <v>13.9</v>
      </c>
      <c r="F157" s="60">
        <v>35</v>
      </c>
      <c r="G157" s="60">
        <v>80</v>
      </c>
      <c r="H157" s="60">
        <v>0</v>
      </c>
      <c r="J157" s="60">
        <v>7.5</v>
      </c>
      <c r="K157" s="60">
        <v>12.5</v>
      </c>
      <c r="L157" s="63"/>
    </row>
    <row r="158" spans="1:12" x14ac:dyDescent="0.2">
      <c r="B158" s="60" t="s">
        <v>849</v>
      </c>
      <c r="C158" s="54" t="s">
        <v>847</v>
      </c>
      <c r="D158" s="55" t="s">
        <v>857</v>
      </c>
      <c r="E158" s="52">
        <v>17.8</v>
      </c>
      <c r="F158" s="60">
        <v>110</v>
      </c>
      <c r="G158" s="60">
        <v>80</v>
      </c>
      <c r="H158" s="60">
        <v>0</v>
      </c>
      <c r="J158" s="60">
        <v>7.5</v>
      </c>
      <c r="K158" s="60">
        <v>12.5</v>
      </c>
      <c r="L158" s="63"/>
    </row>
    <row r="159" spans="1:12" x14ac:dyDescent="0.2">
      <c r="B159" s="60" t="s">
        <v>850</v>
      </c>
      <c r="C159" s="54" t="s">
        <v>847</v>
      </c>
      <c r="D159" s="55" t="s">
        <v>858</v>
      </c>
      <c r="E159" s="52">
        <v>23.5</v>
      </c>
      <c r="F159" s="60">
        <v>220</v>
      </c>
      <c r="G159" s="60">
        <v>80</v>
      </c>
      <c r="H159" s="60">
        <v>0</v>
      </c>
      <c r="J159" s="60">
        <v>7.5</v>
      </c>
      <c r="K159" s="60">
        <v>12.5</v>
      </c>
      <c r="L159" s="63"/>
    </row>
    <row r="160" spans="1:12" x14ac:dyDescent="0.2">
      <c r="B160" s="60" t="s">
        <v>854</v>
      </c>
      <c r="C160" s="54" t="s">
        <v>847</v>
      </c>
      <c r="D160" s="55" t="s">
        <v>855</v>
      </c>
      <c r="E160" s="52">
        <v>6.7</v>
      </c>
      <c r="F160" s="60">
        <v>35</v>
      </c>
      <c r="G160" s="60">
        <v>80</v>
      </c>
      <c r="H160" s="60">
        <v>0</v>
      </c>
      <c r="J160" s="60">
        <v>7.5</v>
      </c>
      <c r="K160" s="60">
        <v>12.5</v>
      </c>
      <c r="L160" s="63"/>
    </row>
    <row r="161" spans="1:12" x14ac:dyDescent="0.2">
      <c r="B161" s="60" t="s">
        <v>859</v>
      </c>
      <c r="C161" s="54" t="s">
        <v>847</v>
      </c>
      <c r="D161" s="55" t="s">
        <v>855</v>
      </c>
      <c r="E161" s="52">
        <v>5.8</v>
      </c>
      <c r="F161" s="60">
        <v>35</v>
      </c>
      <c r="G161" s="60">
        <v>80</v>
      </c>
      <c r="H161" s="60">
        <v>0</v>
      </c>
      <c r="J161" s="60">
        <v>7.5</v>
      </c>
      <c r="K161" s="60">
        <v>12.5</v>
      </c>
      <c r="L161" s="63"/>
    </row>
    <row r="162" spans="1:12" x14ac:dyDescent="0.2">
      <c r="B162" s="60" t="s">
        <v>860</v>
      </c>
      <c r="C162" s="54" t="s">
        <v>847</v>
      </c>
      <c r="D162" s="55" t="s">
        <v>861</v>
      </c>
      <c r="E162" s="52">
        <v>6.9</v>
      </c>
      <c r="F162" s="60">
        <v>110</v>
      </c>
      <c r="G162" s="60">
        <v>80</v>
      </c>
      <c r="H162" s="60">
        <v>0</v>
      </c>
      <c r="J162" s="60">
        <v>7.5</v>
      </c>
      <c r="K162" s="60">
        <v>12.5</v>
      </c>
      <c r="L162" s="63"/>
    </row>
    <row r="163" spans="1:12" x14ac:dyDescent="0.2">
      <c r="B163" s="60" t="s">
        <v>862</v>
      </c>
      <c r="C163" s="54" t="s">
        <v>847</v>
      </c>
      <c r="D163" s="55" t="s">
        <v>861</v>
      </c>
      <c r="E163" s="52">
        <v>5.8</v>
      </c>
      <c r="F163" s="60">
        <v>110</v>
      </c>
      <c r="G163" s="60">
        <v>80</v>
      </c>
      <c r="H163" s="60">
        <v>0</v>
      </c>
      <c r="J163" s="60">
        <v>7.5</v>
      </c>
      <c r="K163" s="60">
        <v>12.5</v>
      </c>
      <c r="L163" s="63"/>
    </row>
    <row r="164" spans="1:12" x14ac:dyDescent="0.2">
      <c r="B164" s="60" t="s">
        <v>864</v>
      </c>
      <c r="C164" s="54" t="s">
        <v>847</v>
      </c>
      <c r="D164" s="55" t="s">
        <v>863</v>
      </c>
      <c r="E164" s="52">
        <v>11.8</v>
      </c>
      <c r="F164" s="60">
        <v>220</v>
      </c>
      <c r="G164" s="60">
        <v>80</v>
      </c>
      <c r="H164" s="60">
        <v>0</v>
      </c>
      <c r="J164" s="60">
        <v>7.5</v>
      </c>
      <c r="K164" s="60">
        <v>12.5</v>
      </c>
      <c r="L164" s="63"/>
    </row>
    <row r="165" spans="1:12" x14ac:dyDescent="0.2">
      <c r="B165" s="60" t="s">
        <v>865</v>
      </c>
      <c r="C165" s="54" t="s">
        <v>847</v>
      </c>
      <c r="D165" s="55" t="s">
        <v>863</v>
      </c>
      <c r="E165" s="52">
        <v>9.1999999999999993</v>
      </c>
      <c r="F165" s="60">
        <v>220</v>
      </c>
      <c r="G165" s="60">
        <v>80</v>
      </c>
      <c r="H165" s="60">
        <v>0</v>
      </c>
      <c r="J165" s="60">
        <v>7.5</v>
      </c>
      <c r="K165" s="60">
        <v>12.5</v>
      </c>
      <c r="L165" s="63"/>
    </row>
    <row r="166" spans="1:12" x14ac:dyDescent="0.2">
      <c r="B166" s="60" t="s">
        <v>866</v>
      </c>
      <c r="C166" s="54" t="s">
        <v>847</v>
      </c>
      <c r="D166" s="55" t="s">
        <v>868</v>
      </c>
      <c r="E166" s="52">
        <v>22.1</v>
      </c>
      <c r="F166" s="60">
        <v>220</v>
      </c>
      <c r="G166" s="60">
        <v>80</v>
      </c>
      <c r="H166" s="60">
        <v>0</v>
      </c>
      <c r="J166" s="60">
        <v>7.5</v>
      </c>
      <c r="K166" s="60">
        <v>12.5</v>
      </c>
      <c r="L166" s="63"/>
    </row>
    <row r="167" spans="1:12" x14ac:dyDescent="0.2">
      <c r="B167" s="60" t="s">
        <v>867</v>
      </c>
      <c r="C167" s="54" t="s">
        <v>847</v>
      </c>
      <c r="D167" s="55" t="s">
        <v>868</v>
      </c>
      <c r="E167" s="52">
        <v>18.2</v>
      </c>
      <c r="F167" s="60">
        <v>220</v>
      </c>
      <c r="G167" s="60">
        <v>80</v>
      </c>
      <c r="H167" s="60">
        <v>0</v>
      </c>
      <c r="J167" s="60">
        <v>7.5</v>
      </c>
      <c r="K167" s="60">
        <v>12.5</v>
      </c>
      <c r="L167" s="63"/>
    </row>
    <row r="168" spans="1:12" x14ac:dyDescent="0.2">
      <c r="B168" s="60" t="s">
        <v>870</v>
      </c>
      <c r="C168" s="54" t="s">
        <v>847</v>
      </c>
      <c r="D168" s="55" t="s">
        <v>869</v>
      </c>
      <c r="E168" s="52">
        <v>1.3</v>
      </c>
      <c r="F168" s="60">
        <v>0</v>
      </c>
      <c r="G168" s="60">
        <v>80</v>
      </c>
      <c r="H168" s="60">
        <v>0</v>
      </c>
      <c r="J168" s="60">
        <v>7.5</v>
      </c>
      <c r="K168" s="60">
        <v>12.5</v>
      </c>
      <c r="L168" s="63"/>
    </row>
    <row r="169" spans="1:12" x14ac:dyDescent="0.2">
      <c r="B169" s="60" t="s">
        <v>871</v>
      </c>
      <c r="C169" s="54" t="s">
        <v>847</v>
      </c>
      <c r="D169" s="55" t="s">
        <v>869</v>
      </c>
      <c r="E169" s="52">
        <v>1.8</v>
      </c>
      <c r="F169" s="60">
        <v>0</v>
      </c>
      <c r="G169" s="60">
        <v>80</v>
      </c>
      <c r="H169" s="60">
        <v>0</v>
      </c>
      <c r="J169" s="60">
        <v>7.5</v>
      </c>
      <c r="K169" s="60">
        <v>12.5</v>
      </c>
      <c r="L169" s="63"/>
    </row>
    <row r="170" spans="1:12" x14ac:dyDescent="0.2">
      <c r="D170" s="55"/>
      <c r="L170" s="63"/>
    </row>
    <row r="171" spans="1:12" x14ac:dyDescent="0.2">
      <c r="A171" s="60">
        <v>31</v>
      </c>
      <c r="B171" s="47" t="s">
        <v>1150</v>
      </c>
      <c r="D171" s="55"/>
      <c r="L171" s="63"/>
    </row>
    <row r="172" spans="1:12" x14ac:dyDescent="0.2">
      <c r="B172" s="60" t="s">
        <v>1151</v>
      </c>
      <c r="C172" s="54" t="s">
        <v>845</v>
      </c>
      <c r="D172" s="55"/>
      <c r="E172" s="52">
        <v>0.19</v>
      </c>
      <c r="F172" s="60">
        <v>0.4</v>
      </c>
      <c r="G172" s="60">
        <v>80</v>
      </c>
      <c r="H172" s="60">
        <v>4</v>
      </c>
      <c r="J172" s="60">
        <v>7</v>
      </c>
      <c r="K172" s="60">
        <v>9</v>
      </c>
      <c r="L172" s="63"/>
    </row>
    <row r="173" spans="1:12" x14ac:dyDescent="0.2">
      <c r="B173" s="60" t="s">
        <v>1152</v>
      </c>
      <c r="C173" s="54" t="s">
        <v>845</v>
      </c>
      <c r="D173" s="55"/>
      <c r="E173" s="52">
        <v>0.4</v>
      </c>
      <c r="F173" s="60">
        <v>0.4</v>
      </c>
      <c r="G173" s="60">
        <v>80</v>
      </c>
      <c r="H173" s="60">
        <v>4</v>
      </c>
      <c r="J173" s="60">
        <v>7</v>
      </c>
      <c r="K173" s="60">
        <v>9</v>
      </c>
      <c r="L173" s="63"/>
    </row>
    <row r="174" spans="1:12" x14ac:dyDescent="0.2">
      <c r="B174" s="60" t="s">
        <v>1153</v>
      </c>
      <c r="C174" s="54" t="s">
        <v>845</v>
      </c>
      <c r="D174" s="55"/>
      <c r="E174" s="52">
        <v>0.17</v>
      </c>
      <c r="F174" s="60">
        <v>0.4</v>
      </c>
      <c r="G174" s="60">
        <v>80</v>
      </c>
      <c r="H174" s="60">
        <v>4</v>
      </c>
      <c r="J174" s="60">
        <v>7</v>
      </c>
      <c r="K174" s="60">
        <v>9</v>
      </c>
      <c r="L174" s="63"/>
    </row>
    <row r="175" spans="1:12" x14ac:dyDescent="0.2">
      <c r="B175" s="60" t="s">
        <v>1154</v>
      </c>
      <c r="C175" s="54" t="s">
        <v>845</v>
      </c>
      <c r="D175" s="55"/>
      <c r="E175" s="52">
        <v>0.36</v>
      </c>
      <c r="F175" s="60">
        <v>0.4</v>
      </c>
      <c r="G175" s="60">
        <v>80</v>
      </c>
      <c r="H175" s="60">
        <v>4</v>
      </c>
      <c r="J175" s="60">
        <v>7</v>
      </c>
      <c r="K175" s="60">
        <v>9</v>
      </c>
      <c r="L175" s="63"/>
    </row>
    <row r="176" spans="1:12" x14ac:dyDescent="0.2">
      <c r="B176" s="60" t="s">
        <v>1151</v>
      </c>
      <c r="C176" s="54" t="s">
        <v>845</v>
      </c>
      <c r="D176" s="55"/>
      <c r="E176" s="52">
        <v>0.19</v>
      </c>
      <c r="F176" s="60">
        <v>10</v>
      </c>
      <c r="G176" s="60">
        <v>80</v>
      </c>
      <c r="H176" s="60">
        <v>4</v>
      </c>
      <c r="J176" s="60">
        <v>7</v>
      </c>
      <c r="K176" s="60">
        <v>9</v>
      </c>
      <c r="L176" s="63"/>
    </row>
    <row r="177" spans="1:12" x14ac:dyDescent="0.2">
      <c r="B177" s="60" t="s">
        <v>1152</v>
      </c>
      <c r="C177" s="54" t="s">
        <v>845</v>
      </c>
      <c r="D177" s="55"/>
      <c r="E177" s="52">
        <v>0.4</v>
      </c>
      <c r="F177" s="60">
        <v>10</v>
      </c>
      <c r="G177" s="60">
        <v>80</v>
      </c>
      <c r="H177" s="60">
        <v>4</v>
      </c>
      <c r="J177" s="60">
        <v>7</v>
      </c>
      <c r="K177" s="60">
        <v>9</v>
      </c>
      <c r="L177" s="63"/>
    </row>
    <row r="178" spans="1:12" x14ac:dyDescent="0.2">
      <c r="B178" s="60" t="s">
        <v>1153</v>
      </c>
      <c r="C178" s="54" t="s">
        <v>845</v>
      </c>
      <c r="D178" s="55"/>
      <c r="E178" s="52">
        <v>0.17</v>
      </c>
      <c r="F178" s="60">
        <v>10</v>
      </c>
      <c r="G178" s="60">
        <v>80</v>
      </c>
      <c r="H178" s="60">
        <v>4</v>
      </c>
      <c r="J178" s="60">
        <v>7</v>
      </c>
      <c r="K178" s="60">
        <v>9</v>
      </c>
      <c r="L178" s="63"/>
    </row>
    <row r="179" spans="1:12" x14ac:dyDescent="0.2">
      <c r="B179" s="60" t="s">
        <v>1154</v>
      </c>
      <c r="C179" s="54" t="s">
        <v>845</v>
      </c>
      <c r="D179" s="55"/>
      <c r="E179" s="52">
        <v>0.36</v>
      </c>
      <c r="F179" s="60">
        <v>10</v>
      </c>
      <c r="G179" s="60">
        <v>80</v>
      </c>
      <c r="H179" s="60">
        <v>4</v>
      </c>
      <c r="J179" s="60">
        <v>7</v>
      </c>
      <c r="K179" s="60">
        <v>9</v>
      </c>
      <c r="L179" s="63"/>
    </row>
    <row r="180" spans="1:12" x14ac:dyDescent="0.2">
      <c r="D180" s="55"/>
      <c r="L180" s="63"/>
    </row>
    <row r="181" spans="1:12" x14ac:dyDescent="0.2">
      <c r="A181" s="60">
        <v>32</v>
      </c>
      <c r="B181" s="47" t="s">
        <v>1155</v>
      </c>
      <c r="D181" s="55"/>
      <c r="L181" s="63"/>
    </row>
    <row r="182" spans="1:12" x14ac:dyDescent="0.2">
      <c r="B182" s="60" t="s">
        <v>1156</v>
      </c>
      <c r="C182" s="54" t="s">
        <v>847</v>
      </c>
      <c r="D182" s="55"/>
      <c r="E182" s="52">
        <v>0.9</v>
      </c>
      <c r="F182" s="60">
        <v>35</v>
      </c>
      <c r="G182" s="60">
        <v>80</v>
      </c>
      <c r="H182" s="60">
        <v>0</v>
      </c>
      <c r="J182" s="60">
        <v>7.5</v>
      </c>
      <c r="K182" s="60">
        <v>12.5</v>
      </c>
      <c r="L182" s="63"/>
    </row>
    <row r="183" spans="1:12" x14ac:dyDescent="0.2">
      <c r="B183" s="60" t="s">
        <v>1157</v>
      </c>
      <c r="C183" s="54" t="s">
        <v>847</v>
      </c>
      <c r="D183" s="55"/>
      <c r="E183" s="52">
        <v>0.94</v>
      </c>
      <c r="F183" s="60">
        <v>35</v>
      </c>
      <c r="G183" s="60">
        <v>80</v>
      </c>
      <c r="H183" s="60">
        <v>0</v>
      </c>
      <c r="J183" s="60">
        <v>7.5</v>
      </c>
      <c r="K183" s="60">
        <v>12.5</v>
      </c>
      <c r="L183" s="63"/>
    </row>
    <row r="184" spans="1:12" x14ac:dyDescent="0.2">
      <c r="B184" s="60" t="s">
        <v>1158</v>
      </c>
      <c r="C184" s="54" t="s">
        <v>847</v>
      </c>
      <c r="D184" s="55"/>
      <c r="E184" s="52">
        <v>1.7</v>
      </c>
      <c r="F184" s="60">
        <v>35</v>
      </c>
      <c r="G184" s="60">
        <v>80</v>
      </c>
      <c r="H184" s="60">
        <v>0</v>
      </c>
      <c r="J184" s="60">
        <v>7.5</v>
      </c>
      <c r="K184" s="60">
        <v>12.5</v>
      </c>
      <c r="L184" s="63"/>
    </row>
    <row r="185" spans="1:12" x14ac:dyDescent="0.2">
      <c r="B185" s="60" t="s">
        <v>1159</v>
      </c>
      <c r="C185" s="54" t="s">
        <v>847</v>
      </c>
      <c r="D185" s="55"/>
      <c r="E185" s="52">
        <v>0.9</v>
      </c>
      <c r="F185" s="60">
        <v>110</v>
      </c>
      <c r="G185" s="60">
        <v>80</v>
      </c>
      <c r="H185" s="60">
        <v>0</v>
      </c>
      <c r="J185" s="60">
        <v>7.5</v>
      </c>
      <c r="K185" s="60">
        <v>12.5</v>
      </c>
      <c r="L185" s="63"/>
    </row>
    <row r="186" spans="1:12" x14ac:dyDescent="0.2">
      <c r="B186" s="60" t="s">
        <v>1160</v>
      </c>
      <c r="C186" s="54" t="s">
        <v>847</v>
      </c>
      <c r="D186" s="55"/>
      <c r="E186" s="52">
        <v>0.94</v>
      </c>
      <c r="F186" s="60">
        <v>110</v>
      </c>
      <c r="G186" s="60">
        <v>80</v>
      </c>
      <c r="H186" s="60">
        <v>0</v>
      </c>
      <c r="J186" s="60">
        <v>7.5</v>
      </c>
      <c r="K186" s="60">
        <v>12.5</v>
      </c>
      <c r="L186" s="63"/>
    </row>
    <row r="187" spans="1:12" x14ac:dyDescent="0.2">
      <c r="B187" s="60" t="s">
        <v>1161</v>
      </c>
      <c r="C187" s="54" t="s">
        <v>847</v>
      </c>
      <c r="D187" s="55"/>
      <c r="E187" s="52">
        <v>1.7</v>
      </c>
      <c r="F187" s="60">
        <v>110</v>
      </c>
      <c r="G187" s="60">
        <v>80</v>
      </c>
      <c r="H187" s="60">
        <v>0</v>
      </c>
      <c r="J187" s="60">
        <v>7.5</v>
      </c>
      <c r="K187" s="60">
        <v>12.5</v>
      </c>
      <c r="L187" s="63"/>
    </row>
    <row r="188" spans="1:12" x14ac:dyDescent="0.2">
      <c r="B188" s="60" t="s">
        <v>1162</v>
      </c>
      <c r="C188" s="54" t="s">
        <v>847</v>
      </c>
      <c r="D188" s="55"/>
      <c r="E188" s="52">
        <v>0.9</v>
      </c>
      <c r="F188" s="60">
        <v>220</v>
      </c>
      <c r="G188" s="60">
        <v>80</v>
      </c>
      <c r="H188" s="60">
        <v>0</v>
      </c>
      <c r="J188" s="60">
        <v>7.5</v>
      </c>
      <c r="K188" s="60">
        <v>12.5</v>
      </c>
      <c r="L188" s="63"/>
    </row>
    <row r="189" spans="1:12" x14ac:dyDescent="0.2">
      <c r="B189" s="60" t="s">
        <v>1163</v>
      </c>
      <c r="C189" s="54" t="s">
        <v>847</v>
      </c>
      <c r="D189" s="55"/>
      <c r="E189" s="52">
        <v>0.94</v>
      </c>
      <c r="F189" s="60">
        <v>220</v>
      </c>
      <c r="G189" s="60">
        <v>80</v>
      </c>
      <c r="H189" s="60">
        <v>0</v>
      </c>
      <c r="J189" s="60">
        <v>7.5</v>
      </c>
      <c r="K189" s="60">
        <v>12.5</v>
      </c>
      <c r="L189" s="63"/>
    </row>
    <row r="190" spans="1:12" x14ac:dyDescent="0.2">
      <c r="B190" s="60" t="s">
        <v>1164</v>
      </c>
      <c r="C190" s="54" t="s">
        <v>847</v>
      </c>
      <c r="D190" s="55"/>
      <c r="E190" s="52">
        <v>1.7</v>
      </c>
      <c r="F190" s="60">
        <v>220</v>
      </c>
      <c r="G190" s="60">
        <v>80</v>
      </c>
      <c r="H190" s="60">
        <v>0</v>
      </c>
      <c r="J190" s="60">
        <v>7.5</v>
      </c>
      <c r="K190" s="60">
        <v>12.5</v>
      </c>
      <c r="L190" s="63"/>
    </row>
    <row r="191" spans="1:12" x14ac:dyDescent="0.2">
      <c r="D191" s="55"/>
      <c r="L191" s="63"/>
    </row>
    <row r="192" spans="1:12" x14ac:dyDescent="0.2">
      <c r="A192" s="60">
        <v>32</v>
      </c>
      <c r="B192" s="47" t="s">
        <v>1165</v>
      </c>
      <c r="D192" s="55"/>
      <c r="L192" s="63"/>
    </row>
    <row r="193" spans="1:12" x14ac:dyDescent="0.2">
      <c r="B193" s="60" t="s">
        <v>1166</v>
      </c>
      <c r="C193" s="54" t="s">
        <v>847</v>
      </c>
      <c r="D193" s="55"/>
      <c r="E193" s="52">
        <v>2.2999999999999998</v>
      </c>
      <c r="F193" s="60">
        <v>35</v>
      </c>
      <c r="G193" s="60">
        <v>80</v>
      </c>
      <c r="H193" s="60">
        <v>0</v>
      </c>
      <c r="J193" s="60">
        <v>7.5</v>
      </c>
      <c r="K193" s="60">
        <v>12.5</v>
      </c>
      <c r="L193" s="63"/>
    </row>
    <row r="194" spans="1:12" x14ac:dyDescent="0.2">
      <c r="B194" s="60" t="s">
        <v>1167</v>
      </c>
      <c r="C194" s="54" t="s">
        <v>847</v>
      </c>
      <c r="D194" s="55"/>
      <c r="E194" s="52">
        <v>4.2</v>
      </c>
      <c r="F194" s="60">
        <v>35</v>
      </c>
      <c r="G194" s="60">
        <v>80</v>
      </c>
      <c r="H194" s="60">
        <v>0</v>
      </c>
      <c r="J194" s="60">
        <v>7.5</v>
      </c>
      <c r="K194" s="60">
        <v>12.5</v>
      </c>
      <c r="L194" s="63"/>
    </row>
    <row r="195" spans="1:12" x14ac:dyDescent="0.2">
      <c r="B195" s="60" t="s">
        <v>1168</v>
      </c>
      <c r="C195" s="54" t="s">
        <v>847</v>
      </c>
      <c r="D195" s="55"/>
      <c r="E195" s="52">
        <v>3.1</v>
      </c>
      <c r="F195" s="60">
        <v>35</v>
      </c>
      <c r="G195" s="60">
        <v>80</v>
      </c>
      <c r="H195" s="60">
        <v>0</v>
      </c>
      <c r="J195" s="60">
        <v>7.5</v>
      </c>
      <c r="K195" s="60">
        <v>12.5</v>
      </c>
      <c r="L195" s="63"/>
    </row>
    <row r="196" spans="1:12" x14ac:dyDescent="0.2">
      <c r="B196" s="60" t="s">
        <v>1169</v>
      </c>
      <c r="C196" s="54" t="s">
        <v>847</v>
      </c>
      <c r="D196" s="55"/>
      <c r="E196" s="52">
        <v>2.2999999999999998</v>
      </c>
      <c r="F196" s="60">
        <v>110</v>
      </c>
      <c r="G196" s="60">
        <v>80</v>
      </c>
      <c r="H196" s="60">
        <v>0</v>
      </c>
      <c r="J196" s="60">
        <v>7.5</v>
      </c>
      <c r="K196" s="60">
        <v>12.5</v>
      </c>
      <c r="L196" s="63"/>
    </row>
    <row r="197" spans="1:12" x14ac:dyDescent="0.2">
      <c r="B197" s="60" t="s">
        <v>1170</v>
      </c>
      <c r="C197" s="54" t="s">
        <v>847</v>
      </c>
      <c r="D197" s="55"/>
      <c r="E197" s="52">
        <v>4.2</v>
      </c>
      <c r="F197" s="60">
        <v>110</v>
      </c>
      <c r="G197" s="60">
        <v>80</v>
      </c>
      <c r="H197" s="60">
        <v>0</v>
      </c>
      <c r="J197" s="60">
        <v>7.5</v>
      </c>
      <c r="K197" s="60">
        <v>12.5</v>
      </c>
      <c r="L197" s="63"/>
    </row>
    <row r="198" spans="1:12" x14ac:dyDescent="0.2">
      <c r="B198" s="60" t="s">
        <v>1171</v>
      </c>
      <c r="C198" s="54" t="s">
        <v>847</v>
      </c>
      <c r="D198" s="55"/>
      <c r="E198" s="52">
        <v>3.1</v>
      </c>
      <c r="F198" s="60">
        <v>110</v>
      </c>
      <c r="G198" s="60">
        <v>80</v>
      </c>
      <c r="H198" s="60">
        <v>0</v>
      </c>
      <c r="J198" s="60">
        <v>7.5</v>
      </c>
      <c r="K198" s="60">
        <v>12.5</v>
      </c>
      <c r="L198" s="63"/>
    </row>
    <row r="199" spans="1:12" x14ac:dyDescent="0.2">
      <c r="B199" s="60" t="s">
        <v>1172</v>
      </c>
      <c r="C199" s="54" t="s">
        <v>847</v>
      </c>
      <c r="D199" s="55"/>
      <c r="E199" s="52">
        <v>2.2999999999999998</v>
      </c>
      <c r="F199" s="60">
        <v>220</v>
      </c>
      <c r="G199" s="60">
        <v>80</v>
      </c>
      <c r="H199" s="60">
        <v>0</v>
      </c>
      <c r="J199" s="60">
        <v>7.5</v>
      </c>
      <c r="K199" s="60">
        <v>12.5</v>
      </c>
      <c r="L199" s="63"/>
    </row>
    <row r="200" spans="1:12" x14ac:dyDescent="0.2">
      <c r="B200" s="60" t="s">
        <v>1173</v>
      </c>
      <c r="C200" s="54" t="s">
        <v>847</v>
      </c>
      <c r="D200" s="55"/>
      <c r="E200" s="52">
        <v>4.2</v>
      </c>
      <c r="F200" s="60">
        <v>220</v>
      </c>
      <c r="G200" s="60">
        <v>80</v>
      </c>
      <c r="H200" s="60">
        <v>0</v>
      </c>
      <c r="J200" s="60">
        <v>7.5</v>
      </c>
      <c r="K200" s="60">
        <v>12.5</v>
      </c>
      <c r="L200" s="63"/>
    </row>
    <row r="201" spans="1:12" x14ac:dyDescent="0.2">
      <c r="B201" s="60" t="s">
        <v>1174</v>
      </c>
      <c r="C201" s="54" t="s">
        <v>847</v>
      </c>
      <c r="D201" s="55"/>
      <c r="E201" s="52">
        <v>3.1</v>
      </c>
      <c r="F201" s="60">
        <v>220</v>
      </c>
      <c r="G201" s="60">
        <v>80</v>
      </c>
      <c r="H201" s="60">
        <v>0</v>
      </c>
      <c r="J201" s="60">
        <v>7.5</v>
      </c>
      <c r="K201" s="60">
        <v>12.5</v>
      </c>
      <c r="L201" s="63"/>
    </row>
    <row r="202" spans="1:12" x14ac:dyDescent="0.2">
      <c r="D202" s="55"/>
      <c r="L202" s="63"/>
    </row>
    <row r="203" spans="1:12" ht="13.5" x14ac:dyDescent="0.25">
      <c r="B203" s="22" t="s">
        <v>839</v>
      </c>
      <c r="D203" s="55"/>
      <c r="L203" s="63"/>
    </row>
    <row r="204" spans="1:12" x14ac:dyDescent="0.2">
      <c r="A204" s="60">
        <v>8</v>
      </c>
      <c r="B204" s="47" t="s">
        <v>318</v>
      </c>
      <c r="C204" s="54" t="s">
        <v>331</v>
      </c>
      <c r="D204" s="55" t="s">
        <v>476</v>
      </c>
      <c r="E204" s="52" t="s">
        <v>333</v>
      </c>
      <c r="F204" s="60" t="s">
        <v>319</v>
      </c>
      <c r="G204" s="60" t="s">
        <v>184</v>
      </c>
      <c r="H204" s="60" t="s">
        <v>4</v>
      </c>
      <c r="I204" s="60" t="s">
        <v>259</v>
      </c>
      <c r="J204" s="60" t="s">
        <v>311</v>
      </c>
      <c r="K204" s="60" t="s">
        <v>474</v>
      </c>
      <c r="L204" s="63"/>
    </row>
    <row r="205" spans="1:12" x14ac:dyDescent="0.2">
      <c r="A205" s="60">
        <v>8</v>
      </c>
      <c r="B205" s="60" t="s">
        <v>508</v>
      </c>
      <c r="C205" s="54" t="s">
        <v>484</v>
      </c>
      <c r="D205" s="55"/>
      <c r="E205" s="52">
        <v>121</v>
      </c>
      <c r="F205" s="60">
        <v>0.4</v>
      </c>
      <c r="G205" s="60">
        <v>82.5</v>
      </c>
      <c r="H205" s="60">
        <v>0</v>
      </c>
      <c r="I205" s="60">
        <v>0.5</v>
      </c>
      <c r="J205" s="60">
        <v>7</v>
      </c>
      <c r="K205" s="60">
        <v>10</v>
      </c>
      <c r="L205" s="232">
        <v>1</v>
      </c>
    </row>
    <row r="206" spans="1:12" x14ac:dyDescent="0.2">
      <c r="A206" s="60">
        <v>8</v>
      </c>
      <c r="B206" s="60" t="s">
        <v>509</v>
      </c>
      <c r="C206" s="54" t="s">
        <v>484</v>
      </c>
      <c r="D206" s="55"/>
      <c r="E206" s="52">
        <v>127</v>
      </c>
      <c r="F206" s="60">
        <v>0.4</v>
      </c>
      <c r="G206" s="60">
        <v>82.5</v>
      </c>
      <c r="H206" s="60">
        <v>0</v>
      </c>
      <c r="I206" s="60">
        <v>0.5</v>
      </c>
      <c r="J206" s="60">
        <v>7</v>
      </c>
      <c r="K206" s="60">
        <v>10</v>
      </c>
      <c r="L206" s="232">
        <v>1</v>
      </c>
    </row>
    <row r="207" spans="1:12" x14ac:dyDescent="0.2">
      <c r="A207" s="60">
        <v>8</v>
      </c>
      <c r="B207" s="60" t="s">
        <v>510</v>
      </c>
      <c r="C207" s="54" t="s">
        <v>484</v>
      </c>
      <c r="D207" s="55"/>
      <c r="E207" s="52">
        <v>137</v>
      </c>
      <c r="F207" s="60">
        <v>0.4</v>
      </c>
      <c r="G207" s="60">
        <v>82.5</v>
      </c>
      <c r="H207" s="60">
        <v>0</v>
      </c>
      <c r="I207" s="60">
        <v>0.5</v>
      </c>
      <c r="J207" s="60">
        <v>7</v>
      </c>
      <c r="K207" s="60">
        <v>10</v>
      </c>
      <c r="L207" s="232">
        <v>1</v>
      </c>
    </row>
    <row r="208" spans="1:12" x14ac:dyDescent="0.2">
      <c r="A208" s="60">
        <v>8</v>
      </c>
      <c r="B208" s="60" t="s">
        <v>511</v>
      </c>
      <c r="C208" s="54" t="s">
        <v>484</v>
      </c>
      <c r="D208" s="55"/>
      <c r="E208" s="52">
        <v>151</v>
      </c>
      <c r="F208" s="60">
        <v>0.4</v>
      </c>
      <c r="G208" s="60">
        <v>82.5</v>
      </c>
      <c r="H208" s="60">
        <v>0</v>
      </c>
      <c r="I208" s="60">
        <v>0.5</v>
      </c>
      <c r="J208" s="60">
        <v>7</v>
      </c>
      <c r="K208" s="60">
        <v>10</v>
      </c>
      <c r="L208" s="232">
        <v>1</v>
      </c>
    </row>
    <row r="209" spans="1:12" x14ac:dyDescent="0.2">
      <c r="A209" s="60">
        <v>8</v>
      </c>
      <c r="B209" s="60" t="s">
        <v>512</v>
      </c>
      <c r="C209" s="54" t="s">
        <v>484</v>
      </c>
      <c r="D209" s="55"/>
      <c r="E209" s="52">
        <v>168</v>
      </c>
      <c r="F209" s="60">
        <v>0.4</v>
      </c>
      <c r="G209" s="60">
        <v>82.5</v>
      </c>
      <c r="H209" s="60">
        <v>0</v>
      </c>
      <c r="I209" s="60">
        <v>0.5</v>
      </c>
      <c r="J209" s="60">
        <v>7</v>
      </c>
      <c r="K209" s="60">
        <v>10</v>
      </c>
      <c r="L209" s="232">
        <v>1</v>
      </c>
    </row>
    <row r="210" spans="1:12" x14ac:dyDescent="0.2">
      <c r="A210" s="60">
        <v>8</v>
      </c>
      <c r="B210" s="60" t="s">
        <v>513</v>
      </c>
      <c r="C210" s="54" t="s">
        <v>484</v>
      </c>
      <c r="D210" s="55"/>
      <c r="E210" s="52">
        <v>190</v>
      </c>
      <c r="F210" s="60">
        <v>0.4</v>
      </c>
      <c r="G210" s="60">
        <v>82.5</v>
      </c>
      <c r="H210" s="60">
        <v>0</v>
      </c>
      <c r="I210" s="60">
        <v>0.5</v>
      </c>
      <c r="J210" s="60">
        <v>7</v>
      </c>
      <c r="K210" s="60">
        <v>10</v>
      </c>
      <c r="L210" s="232">
        <v>1</v>
      </c>
    </row>
    <row r="211" spans="1:12" x14ac:dyDescent="0.2">
      <c r="A211" s="60">
        <v>8</v>
      </c>
      <c r="B211" s="60" t="s">
        <v>514</v>
      </c>
      <c r="C211" s="54" t="s">
        <v>484</v>
      </c>
      <c r="D211" s="55"/>
      <c r="E211" s="52">
        <v>219</v>
      </c>
      <c r="F211" s="60">
        <v>0.4</v>
      </c>
      <c r="G211" s="60">
        <v>82.5</v>
      </c>
      <c r="H211" s="60">
        <v>0</v>
      </c>
      <c r="I211" s="60">
        <v>0.5</v>
      </c>
      <c r="J211" s="60">
        <v>7</v>
      </c>
      <c r="K211" s="60">
        <v>10</v>
      </c>
      <c r="L211" s="232">
        <v>1</v>
      </c>
    </row>
    <row r="212" spans="1:12" x14ac:dyDescent="0.2">
      <c r="A212" s="60">
        <v>8</v>
      </c>
      <c r="B212" s="60" t="s">
        <v>515</v>
      </c>
      <c r="C212" s="54" t="s">
        <v>484</v>
      </c>
      <c r="D212" s="55"/>
      <c r="E212" s="52">
        <v>242</v>
      </c>
      <c r="F212" s="60">
        <v>0.4</v>
      </c>
      <c r="G212" s="60">
        <v>82.5</v>
      </c>
      <c r="H212" s="60">
        <v>0</v>
      </c>
      <c r="I212" s="60">
        <v>0.5</v>
      </c>
      <c r="J212" s="60">
        <v>7</v>
      </c>
      <c r="K212" s="60">
        <v>10</v>
      </c>
      <c r="L212" s="232">
        <v>1</v>
      </c>
    </row>
    <row r="213" spans="1:12" x14ac:dyDescent="0.2">
      <c r="A213" s="60">
        <v>8</v>
      </c>
      <c r="B213" s="60" t="s">
        <v>516</v>
      </c>
      <c r="C213" s="54" t="s">
        <v>484</v>
      </c>
      <c r="D213" s="55"/>
      <c r="E213" s="52">
        <v>142</v>
      </c>
      <c r="F213" s="60">
        <v>0.4</v>
      </c>
      <c r="G213" s="60">
        <v>82.5</v>
      </c>
      <c r="H213" s="60">
        <v>0</v>
      </c>
      <c r="I213" s="60">
        <v>0.5</v>
      </c>
      <c r="J213" s="60">
        <v>7</v>
      </c>
      <c r="K213" s="60">
        <v>10</v>
      </c>
      <c r="L213" s="232">
        <v>1</v>
      </c>
    </row>
    <row r="214" spans="1:12" x14ac:dyDescent="0.2">
      <c r="A214" s="60">
        <v>8</v>
      </c>
      <c r="B214" s="60" t="s">
        <v>517</v>
      </c>
      <c r="C214" s="54" t="s">
        <v>484</v>
      </c>
      <c r="D214" s="55"/>
      <c r="E214" s="52">
        <v>149</v>
      </c>
      <c r="F214" s="60">
        <v>0.4</v>
      </c>
      <c r="G214" s="60">
        <v>82.5</v>
      </c>
      <c r="H214" s="60">
        <v>0</v>
      </c>
      <c r="I214" s="60">
        <v>0.5</v>
      </c>
      <c r="J214" s="60">
        <v>7</v>
      </c>
      <c r="K214" s="60">
        <v>10</v>
      </c>
      <c r="L214" s="232">
        <v>1</v>
      </c>
    </row>
    <row r="215" spans="1:12" x14ac:dyDescent="0.2">
      <c r="A215" s="60">
        <v>8</v>
      </c>
      <c r="B215" s="60" t="s">
        <v>518</v>
      </c>
      <c r="C215" s="54" t="s">
        <v>484</v>
      </c>
      <c r="D215" s="55"/>
      <c r="E215" s="52">
        <v>160</v>
      </c>
      <c r="F215" s="60">
        <v>0.4</v>
      </c>
      <c r="G215" s="60">
        <v>82.5</v>
      </c>
      <c r="H215" s="60">
        <v>0</v>
      </c>
      <c r="I215" s="60">
        <v>0.5</v>
      </c>
      <c r="J215" s="60">
        <v>7</v>
      </c>
      <c r="K215" s="60">
        <v>10</v>
      </c>
      <c r="L215" s="232">
        <v>1</v>
      </c>
    </row>
    <row r="216" spans="1:12" x14ac:dyDescent="0.2">
      <c r="A216" s="60">
        <v>8</v>
      </c>
      <c r="B216" s="60" t="s">
        <v>519</v>
      </c>
      <c r="C216" s="54" t="s">
        <v>484</v>
      </c>
      <c r="D216" s="55"/>
      <c r="E216" s="52">
        <v>174</v>
      </c>
      <c r="F216" s="60">
        <v>0.4</v>
      </c>
      <c r="G216" s="60">
        <v>82.5</v>
      </c>
      <c r="H216" s="60">
        <v>0</v>
      </c>
      <c r="I216" s="60">
        <v>0.5</v>
      </c>
      <c r="J216" s="60">
        <v>7</v>
      </c>
      <c r="K216" s="60">
        <v>10</v>
      </c>
      <c r="L216" s="232">
        <v>1</v>
      </c>
    </row>
    <row r="217" spans="1:12" x14ac:dyDescent="0.2">
      <c r="A217" s="60">
        <v>8</v>
      </c>
      <c r="B217" s="60" t="s">
        <v>520</v>
      </c>
      <c r="C217" s="54" t="s">
        <v>484</v>
      </c>
      <c r="D217" s="55"/>
      <c r="E217" s="52">
        <v>191</v>
      </c>
      <c r="F217" s="60">
        <v>0.4</v>
      </c>
      <c r="G217" s="60">
        <v>82.5</v>
      </c>
      <c r="H217" s="60">
        <v>0</v>
      </c>
      <c r="I217" s="60">
        <v>0.5</v>
      </c>
      <c r="J217" s="60">
        <v>7</v>
      </c>
      <c r="K217" s="60">
        <v>10</v>
      </c>
      <c r="L217" s="232">
        <v>1</v>
      </c>
    </row>
    <row r="218" spans="1:12" x14ac:dyDescent="0.2">
      <c r="A218" s="60">
        <v>8</v>
      </c>
      <c r="B218" s="60" t="s">
        <v>521</v>
      </c>
      <c r="C218" s="54" t="s">
        <v>484</v>
      </c>
      <c r="D218" s="55"/>
      <c r="E218" s="52">
        <v>212</v>
      </c>
      <c r="F218" s="60">
        <v>0.4</v>
      </c>
      <c r="G218" s="60">
        <v>82.5</v>
      </c>
      <c r="H218" s="60">
        <v>0</v>
      </c>
      <c r="I218" s="60">
        <v>0.5</v>
      </c>
      <c r="J218" s="60">
        <v>7</v>
      </c>
      <c r="K218" s="60">
        <v>10</v>
      </c>
      <c r="L218" s="232">
        <v>1</v>
      </c>
    </row>
    <row r="219" spans="1:12" x14ac:dyDescent="0.2">
      <c r="A219" s="60">
        <v>8</v>
      </c>
      <c r="B219" s="60" t="s">
        <v>522</v>
      </c>
      <c r="C219" s="54" t="s">
        <v>484</v>
      </c>
      <c r="D219" s="55"/>
      <c r="E219" s="52">
        <v>243</v>
      </c>
      <c r="F219" s="60">
        <v>0.4</v>
      </c>
      <c r="G219" s="60">
        <v>82.5</v>
      </c>
      <c r="H219" s="60">
        <v>0</v>
      </c>
      <c r="I219" s="60">
        <v>0.5</v>
      </c>
      <c r="J219" s="60">
        <v>7</v>
      </c>
      <c r="K219" s="60">
        <v>10</v>
      </c>
      <c r="L219" s="232">
        <v>1</v>
      </c>
    </row>
    <row r="220" spans="1:12" x14ac:dyDescent="0.2">
      <c r="A220" s="60">
        <v>8</v>
      </c>
      <c r="B220" s="60" t="s">
        <v>523</v>
      </c>
      <c r="C220" s="54" t="s">
        <v>484</v>
      </c>
      <c r="D220" s="55"/>
      <c r="E220" s="52">
        <v>267</v>
      </c>
      <c r="F220" s="60">
        <v>0.4</v>
      </c>
      <c r="G220" s="60">
        <v>82.5</v>
      </c>
      <c r="H220" s="60">
        <v>0</v>
      </c>
      <c r="I220" s="60">
        <v>0.5</v>
      </c>
      <c r="J220" s="60">
        <v>7</v>
      </c>
      <c r="K220" s="60">
        <v>10</v>
      </c>
      <c r="L220" s="232">
        <v>1</v>
      </c>
    </row>
    <row r="221" spans="1:12" x14ac:dyDescent="0.2">
      <c r="A221" s="60">
        <v>8</v>
      </c>
      <c r="B221" s="60" t="s">
        <v>524</v>
      </c>
      <c r="C221" s="54" t="s">
        <v>484</v>
      </c>
      <c r="D221" s="55"/>
      <c r="E221" s="52">
        <v>127</v>
      </c>
      <c r="F221" s="60">
        <v>0.4</v>
      </c>
      <c r="G221" s="60">
        <v>82.5</v>
      </c>
      <c r="H221" s="60">
        <v>0</v>
      </c>
      <c r="I221" s="60">
        <v>0.5</v>
      </c>
      <c r="J221" s="60">
        <v>7</v>
      </c>
      <c r="K221" s="60">
        <v>10</v>
      </c>
      <c r="L221" s="232">
        <v>1</v>
      </c>
    </row>
    <row r="222" spans="1:12" x14ac:dyDescent="0.2">
      <c r="A222" s="60">
        <v>8</v>
      </c>
      <c r="B222" s="60" t="s">
        <v>525</v>
      </c>
      <c r="C222" s="54" t="s">
        <v>484</v>
      </c>
      <c r="D222" s="55"/>
      <c r="E222" s="52">
        <v>133</v>
      </c>
      <c r="F222" s="60">
        <v>0.4</v>
      </c>
      <c r="G222" s="60">
        <v>82.5</v>
      </c>
      <c r="H222" s="60">
        <v>0</v>
      </c>
      <c r="I222" s="60">
        <v>0.5</v>
      </c>
      <c r="J222" s="60">
        <v>7</v>
      </c>
      <c r="K222" s="60">
        <v>10</v>
      </c>
      <c r="L222" s="232">
        <v>1</v>
      </c>
    </row>
    <row r="223" spans="1:12" x14ac:dyDescent="0.2">
      <c r="A223" s="60">
        <v>8</v>
      </c>
      <c r="B223" s="60" t="s">
        <v>526</v>
      </c>
      <c r="C223" s="54" t="s">
        <v>484</v>
      </c>
      <c r="D223" s="55"/>
      <c r="E223" s="52">
        <v>143</v>
      </c>
      <c r="F223" s="60">
        <v>0.4</v>
      </c>
      <c r="G223" s="60">
        <v>82.5</v>
      </c>
      <c r="H223" s="60">
        <v>0</v>
      </c>
      <c r="I223" s="60">
        <v>0.5</v>
      </c>
      <c r="J223" s="60">
        <v>7</v>
      </c>
      <c r="K223" s="60">
        <v>10</v>
      </c>
      <c r="L223" s="232">
        <v>1</v>
      </c>
    </row>
    <row r="224" spans="1:12" x14ac:dyDescent="0.2">
      <c r="A224" s="60">
        <v>8</v>
      </c>
      <c r="B224" s="60" t="s">
        <v>527</v>
      </c>
      <c r="C224" s="54" t="s">
        <v>484</v>
      </c>
      <c r="D224" s="55"/>
      <c r="E224" s="52">
        <v>157</v>
      </c>
      <c r="F224" s="60">
        <v>0.4</v>
      </c>
      <c r="G224" s="60">
        <v>82.5</v>
      </c>
      <c r="H224" s="60">
        <v>0</v>
      </c>
      <c r="I224" s="60">
        <v>0.5</v>
      </c>
      <c r="J224" s="60">
        <v>7</v>
      </c>
      <c r="K224" s="60">
        <v>10</v>
      </c>
      <c r="L224" s="232">
        <v>1</v>
      </c>
    </row>
    <row r="225" spans="1:14" x14ac:dyDescent="0.2">
      <c r="A225" s="60">
        <v>8</v>
      </c>
      <c r="B225" s="60" t="s">
        <v>529</v>
      </c>
      <c r="C225" s="54" t="s">
        <v>484</v>
      </c>
      <c r="D225" s="55"/>
      <c r="E225" s="52">
        <v>174</v>
      </c>
      <c r="F225" s="60">
        <v>0.4</v>
      </c>
      <c r="G225" s="60">
        <v>82.5</v>
      </c>
      <c r="H225" s="60">
        <v>0</v>
      </c>
      <c r="I225" s="60">
        <v>0.5</v>
      </c>
      <c r="J225" s="60">
        <v>7</v>
      </c>
      <c r="K225" s="60">
        <v>10</v>
      </c>
      <c r="L225" s="232">
        <v>1</v>
      </c>
    </row>
    <row r="226" spans="1:14" x14ac:dyDescent="0.2">
      <c r="A226" s="60">
        <v>8</v>
      </c>
      <c r="B226" s="60" t="s">
        <v>528</v>
      </c>
      <c r="C226" s="54" t="s">
        <v>484</v>
      </c>
      <c r="D226" s="55"/>
      <c r="E226" s="52">
        <v>196</v>
      </c>
      <c r="F226" s="60">
        <v>0.4</v>
      </c>
      <c r="G226" s="60">
        <v>82.5</v>
      </c>
      <c r="H226" s="60">
        <v>0</v>
      </c>
      <c r="I226" s="60">
        <v>0.5</v>
      </c>
      <c r="J226" s="60">
        <v>7</v>
      </c>
      <c r="K226" s="60">
        <v>10</v>
      </c>
      <c r="L226" s="232">
        <v>1</v>
      </c>
    </row>
    <row r="227" spans="1:14" x14ac:dyDescent="0.2">
      <c r="A227" s="60">
        <v>8</v>
      </c>
      <c r="B227" s="60" t="s">
        <v>530</v>
      </c>
      <c r="C227" s="54" t="s">
        <v>484</v>
      </c>
      <c r="D227" s="55"/>
      <c r="E227" s="52">
        <v>222</v>
      </c>
      <c r="F227" s="60">
        <v>0.4</v>
      </c>
      <c r="G227" s="60">
        <v>82.5</v>
      </c>
      <c r="H227" s="60">
        <v>0</v>
      </c>
      <c r="I227" s="60">
        <v>0.5</v>
      </c>
      <c r="J227" s="60">
        <v>7</v>
      </c>
      <c r="K227" s="60">
        <v>10</v>
      </c>
      <c r="L227" s="232">
        <v>1</v>
      </c>
    </row>
    <row r="228" spans="1:14" x14ac:dyDescent="0.2">
      <c r="A228" s="60">
        <v>8</v>
      </c>
      <c r="B228" s="60" t="s">
        <v>531</v>
      </c>
      <c r="C228" s="54" t="s">
        <v>484</v>
      </c>
      <c r="D228" s="55"/>
      <c r="E228" s="52">
        <v>246</v>
      </c>
      <c r="F228" s="60">
        <v>0.4</v>
      </c>
      <c r="G228" s="60">
        <v>82.5</v>
      </c>
      <c r="H228" s="60">
        <v>0</v>
      </c>
      <c r="I228" s="60">
        <v>0.5</v>
      </c>
      <c r="J228" s="60">
        <v>7</v>
      </c>
      <c r="K228" s="60">
        <v>10</v>
      </c>
      <c r="L228" s="232">
        <v>1</v>
      </c>
    </row>
    <row r="229" spans="1:14" x14ac:dyDescent="0.2">
      <c r="A229" s="60">
        <v>8</v>
      </c>
      <c r="B229" s="60" t="s">
        <v>532</v>
      </c>
      <c r="C229" s="54" t="s">
        <v>484</v>
      </c>
      <c r="D229" s="55"/>
      <c r="E229" s="52">
        <f>0.4*E205</f>
        <v>48.400000000000006</v>
      </c>
      <c r="F229" s="60">
        <v>0.4</v>
      </c>
      <c r="G229" s="60">
        <v>82.5</v>
      </c>
      <c r="H229" s="60">
        <v>0</v>
      </c>
      <c r="I229" s="60">
        <v>0.5</v>
      </c>
      <c r="J229" s="60">
        <v>7</v>
      </c>
      <c r="K229" s="60">
        <v>10</v>
      </c>
      <c r="L229" s="232">
        <v>1</v>
      </c>
    </row>
    <row r="230" spans="1:14" x14ac:dyDescent="0.2">
      <c r="A230" s="60">
        <v>8</v>
      </c>
      <c r="B230" s="60" t="s">
        <v>533</v>
      </c>
      <c r="C230" s="54" t="s">
        <v>484</v>
      </c>
      <c r="D230" s="55"/>
      <c r="E230" s="52">
        <f t="shared" ref="E230:E252" si="2">0.4*E206</f>
        <v>50.800000000000004</v>
      </c>
      <c r="F230" s="60">
        <v>0.4</v>
      </c>
      <c r="G230" s="60">
        <v>82.5</v>
      </c>
      <c r="H230" s="60">
        <v>0</v>
      </c>
      <c r="I230" s="60">
        <v>0.5</v>
      </c>
      <c r="J230" s="60">
        <v>7</v>
      </c>
      <c r="K230" s="60">
        <v>10</v>
      </c>
      <c r="L230" s="232">
        <v>1</v>
      </c>
    </row>
    <row r="231" spans="1:14" x14ac:dyDescent="0.2">
      <c r="A231" s="60">
        <v>8</v>
      </c>
      <c r="B231" s="60" t="s">
        <v>534</v>
      </c>
      <c r="C231" s="54" t="s">
        <v>484</v>
      </c>
      <c r="D231" s="55"/>
      <c r="E231" s="52">
        <f t="shared" si="2"/>
        <v>54.800000000000004</v>
      </c>
      <c r="F231" s="60">
        <v>0.4</v>
      </c>
      <c r="G231" s="60">
        <v>82.5</v>
      </c>
      <c r="H231" s="60">
        <v>0</v>
      </c>
      <c r="I231" s="60">
        <v>0.5</v>
      </c>
      <c r="J231" s="60">
        <v>7</v>
      </c>
      <c r="K231" s="60">
        <v>10</v>
      </c>
      <c r="L231" s="232">
        <v>1</v>
      </c>
    </row>
    <row r="232" spans="1:14" x14ac:dyDescent="0.2">
      <c r="A232" s="60">
        <v>8</v>
      </c>
      <c r="B232" s="60" t="s">
        <v>535</v>
      </c>
      <c r="C232" s="54" t="s">
        <v>484</v>
      </c>
      <c r="D232" s="55"/>
      <c r="E232" s="52">
        <f t="shared" si="2"/>
        <v>60.400000000000006</v>
      </c>
      <c r="F232" s="60">
        <v>0.4</v>
      </c>
      <c r="G232" s="60">
        <v>82.5</v>
      </c>
      <c r="H232" s="60">
        <v>0</v>
      </c>
      <c r="I232" s="60">
        <v>0.5</v>
      </c>
      <c r="J232" s="60">
        <v>7</v>
      </c>
      <c r="K232" s="60">
        <v>10</v>
      </c>
      <c r="L232" s="232">
        <v>1</v>
      </c>
    </row>
    <row r="233" spans="1:14" x14ac:dyDescent="0.2">
      <c r="A233" s="60">
        <v>8</v>
      </c>
      <c r="B233" s="60" t="s">
        <v>536</v>
      </c>
      <c r="C233" s="54" t="s">
        <v>484</v>
      </c>
      <c r="D233" s="55"/>
      <c r="E233" s="52">
        <f t="shared" si="2"/>
        <v>67.2</v>
      </c>
      <c r="F233" s="60">
        <v>0.4</v>
      </c>
      <c r="G233" s="60">
        <v>82.5</v>
      </c>
      <c r="H233" s="60">
        <v>0</v>
      </c>
      <c r="I233" s="60">
        <v>0.5</v>
      </c>
      <c r="J233" s="60">
        <v>7</v>
      </c>
      <c r="K233" s="60">
        <v>10</v>
      </c>
      <c r="L233" s="232">
        <v>1</v>
      </c>
    </row>
    <row r="234" spans="1:14" x14ac:dyDescent="0.2">
      <c r="A234" s="60">
        <v>8</v>
      </c>
      <c r="B234" s="60" t="s">
        <v>537</v>
      </c>
      <c r="C234" s="54" t="s">
        <v>484</v>
      </c>
      <c r="D234" s="55"/>
      <c r="E234" s="52">
        <f t="shared" si="2"/>
        <v>76</v>
      </c>
      <c r="F234" s="60">
        <v>0.4</v>
      </c>
      <c r="G234" s="60">
        <v>82.5</v>
      </c>
      <c r="H234" s="60">
        <v>0</v>
      </c>
      <c r="I234" s="60">
        <v>0.5</v>
      </c>
      <c r="J234" s="60">
        <v>7</v>
      </c>
      <c r="K234" s="60">
        <v>10</v>
      </c>
      <c r="L234" s="232">
        <v>1</v>
      </c>
    </row>
    <row r="235" spans="1:14" x14ac:dyDescent="0.2">
      <c r="A235" s="60">
        <v>8</v>
      </c>
      <c r="B235" s="60" t="s">
        <v>538</v>
      </c>
      <c r="C235" s="54" t="s">
        <v>484</v>
      </c>
      <c r="D235" s="55"/>
      <c r="E235" s="52">
        <f t="shared" si="2"/>
        <v>87.600000000000009</v>
      </c>
      <c r="F235" s="60">
        <v>0.4</v>
      </c>
      <c r="G235" s="60">
        <v>82.5</v>
      </c>
      <c r="H235" s="60">
        <v>0</v>
      </c>
      <c r="I235" s="60">
        <v>0.5</v>
      </c>
      <c r="J235" s="60">
        <v>7</v>
      </c>
      <c r="K235" s="60">
        <v>10</v>
      </c>
      <c r="L235" s="232">
        <v>1</v>
      </c>
      <c r="N235" s="26"/>
    </row>
    <row r="236" spans="1:14" x14ac:dyDescent="0.2">
      <c r="A236" s="60">
        <v>8</v>
      </c>
      <c r="B236" s="60" t="s">
        <v>539</v>
      </c>
      <c r="C236" s="54" t="s">
        <v>484</v>
      </c>
      <c r="D236" s="55"/>
      <c r="E236" s="52">
        <f t="shared" si="2"/>
        <v>96.800000000000011</v>
      </c>
      <c r="F236" s="60">
        <v>0.4</v>
      </c>
      <c r="G236" s="60">
        <v>82.5</v>
      </c>
      <c r="H236" s="60">
        <v>0</v>
      </c>
      <c r="I236" s="60">
        <v>0.5</v>
      </c>
      <c r="J236" s="60">
        <v>7</v>
      </c>
      <c r="K236" s="60">
        <v>10</v>
      </c>
      <c r="L236" s="232">
        <v>1</v>
      </c>
    </row>
    <row r="237" spans="1:14" x14ac:dyDescent="0.2">
      <c r="A237" s="60">
        <v>8</v>
      </c>
      <c r="B237" s="60" t="s">
        <v>540</v>
      </c>
      <c r="C237" s="54" t="s">
        <v>484</v>
      </c>
      <c r="D237" s="55"/>
      <c r="E237" s="52">
        <f t="shared" si="2"/>
        <v>56.800000000000004</v>
      </c>
      <c r="F237" s="60">
        <v>0.4</v>
      </c>
      <c r="G237" s="60">
        <v>82.5</v>
      </c>
      <c r="H237" s="60">
        <v>0</v>
      </c>
      <c r="I237" s="60">
        <v>0.5</v>
      </c>
      <c r="J237" s="60">
        <v>7</v>
      </c>
      <c r="K237" s="60">
        <v>10</v>
      </c>
      <c r="L237" s="232">
        <v>1</v>
      </c>
    </row>
    <row r="238" spans="1:14" x14ac:dyDescent="0.2">
      <c r="A238" s="60">
        <v>8</v>
      </c>
      <c r="B238" s="60" t="s">
        <v>541</v>
      </c>
      <c r="C238" s="54" t="s">
        <v>484</v>
      </c>
      <c r="D238" s="55"/>
      <c r="E238" s="52">
        <f t="shared" si="2"/>
        <v>59.6</v>
      </c>
      <c r="F238" s="60">
        <v>0.4</v>
      </c>
      <c r="G238" s="60">
        <v>82.5</v>
      </c>
      <c r="H238" s="60">
        <v>0</v>
      </c>
      <c r="I238" s="60">
        <v>0.5</v>
      </c>
      <c r="J238" s="60">
        <v>7</v>
      </c>
      <c r="K238" s="60">
        <v>10</v>
      </c>
      <c r="L238" s="232">
        <v>1</v>
      </c>
    </row>
    <row r="239" spans="1:14" x14ac:dyDescent="0.2">
      <c r="A239" s="60">
        <v>8</v>
      </c>
      <c r="B239" s="60" t="s">
        <v>542</v>
      </c>
      <c r="C239" s="54" t="s">
        <v>484</v>
      </c>
      <c r="D239" s="55"/>
      <c r="E239" s="52">
        <f t="shared" si="2"/>
        <v>64</v>
      </c>
      <c r="F239" s="60">
        <v>0.4</v>
      </c>
      <c r="G239" s="60">
        <v>82.5</v>
      </c>
      <c r="H239" s="60">
        <v>0</v>
      </c>
      <c r="I239" s="60">
        <v>0.5</v>
      </c>
      <c r="J239" s="60">
        <v>7</v>
      </c>
      <c r="K239" s="60">
        <v>10</v>
      </c>
      <c r="L239" s="232">
        <v>1</v>
      </c>
    </row>
    <row r="240" spans="1:14" x14ac:dyDescent="0.2">
      <c r="A240" s="60">
        <v>8</v>
      </c>
      <c r="B240" s="60" t="s">
        <v>543</v>
      </c>
      <c r="C240" s="54" t="s">
        <v>484</v>
      </c>
      <c r="D240" s="55"/>
      <c r="E240" s="52">
        <f t="shared" si="2"/>
        <v>69.600000000000009</v>
      </c>
      <c r="F240" s="60">
        <v>0.4</v>
      </c>
      <c r="G240" s="60">
        <v>82.5</v>
      </c>
      <c r="H240" s="60">
        <v>0</v>
      </c>
      <c r="I240" s="60">
        <v>0.5</v>
      </c>
      <c r="J240" s="60">
        <v>7</v>
      </c>
      <c r="K240" s="60">
        <v>10</v>
      </c>
      <c r="L240" s="232">
        <v>1</v>
      </c>
    </row>
    <row r="241" spans="1:12" x14ac:dyDescent="0.2">
      <c r="A241" s="60">
        <v>8</v>
      </c>
      <c r="B241" s="60" t="s">
        <v>544</v>
      </c>
      <c r="C241" s="54" t="s">
        <v>484</v>
      </c>
      <c r="D241" s="55"/>
      <c r="E241" s="52">
        <f t="shared" si="2"/>
        <v>76.400000000000006</v>
      </c>
      <c r="F241" s="60">
        <v>0.4</v>
      </c>
      <c r="G241" s="60">
        <v>82.5</v>
      </c>
      <c r="H241" s="60">
        <v>0</v>
      </c>
      <c r="I241" s="60">
        <v>0.5</v>
      </c>
      <c r="J241" s="60">
        <v>7</v>
      </c>
      <c r="K241" s="60">
        <v>10</v>
      </c>
      <c r="L241" s="232">
        <v>1</v>
      </c>
    </row>
    <row r="242" spans="1:12" x14ac:dyDescent="0.2">
      <c r="A242" s="60">
        <v>8</v>
      </c>
      <c r="B242" s="60" t="s">
        <v>545</v>
      </c>
      <c r="C242" s="54" t="s">
        <v>484</v>
      </c>
      <c r="D242" s="55"/>
      <c r="E242" s="52">
        <f t="shared" si="2"/>
        <v>84.800000000000011</v>
      </c>
      <c r="F242" s="60">
        <v>0.4</v>
      </c>
      <c r="G242" s="60">
        <v>82.5</v>
      </c>
      <c r="H242" s="60">
        <v>0</v>
      </c>
      <c r="I242" s="60">
        <v>0.5</v>
      </c>
      <c r="J242" s="60">
        <v>7</v>
      </c>
      <c r="K242" s="60">
        <v>10</v>
      </c>
      <c r="L242" s="232">
        <v>1</v>
      </c>
    </row>
    <row r="243" spans="1:12" x14ac:dyDescent="0.2">
      <c r="A243" s="60">
        <v>8</v>
      </c>
      <c r="B243" s="60" t="s">
        <v>546</v>
      </c>
      <c r="C243" s="54" t="s">
        <v>484</v>
      </c>
      <c r="D243" s="55"/>
      <c r="E243" s="52">
        <f t="shared" si="2"/>
        <v>97.2</v>
      </c>
      <c r="F243" s="60">
        <v>0.4</v>
      </c>
      <c r="G243" s="60">
        <v>82.5</v>
      </c>
      <c r="H243" s="60">
        <v>0</v>
      </c>
      <c r="I243" s="60">
        <v>0.5</v>
      </c>
      <c r="J243" s="60">
        <v>7</v>
      </c>
      <c r="K243" s="60">
        <v>10</v>
      </c>
      <c r="L243" s="232">
        <v>1</v>
      </c>
    </row>
    <row r="244" spans="1:12" x14ac:dyDescent="0.2">
      <c r="A244" s="60">
        <v>8</v>
      </c>
      <c r="B244" s="60" t="s">
        <v>547</v>
      </c>
      <c r="C244" s="54" t="s">
        <v>484</v>
      </c>
      <c r="D244" s="55"/>
      <c r="E244" s="52">
        <f t="shared" si="2"/>
        <v>106.80000000000001</v>
      </c>
      <c r="F244" s="60">
        <v>0.4</v>
      </c>
      <c r="G244" s="60">
        <v>82.5</v>
      </c>
      <c r="H244" s="60">
        <v>0</v>
      </c>
      <c r="I244" s="60">
        <v>0.5</v>
      </c>
      <c r="J244" s="60">
        <v>7</v>
      </c>
      <c r="K244" s="60">
        <v>10</v>
      </c>
      <c r="L244" s="232">
        <v>1</v>
      </c>
    </row>
    <row r="245" spans="1:12" x14ac:dyDescent="0.2">
      <c r="A245" s="60">
        <v>8</v>
      </c>
      <c r="B245" s="60" t="s">
        <v>548</v>
      </c>
      <c r="C245" s="54" t="s">
        <v>484</v>
      </c>
      <c r="D245" s="55"/>
      <c r="E245" s="52">
        <f t="shared" si="2"/>
        <v>50.800000000000004</v>
      </c>
      <c r="F245" s="60">
        <v>0.4</v>
      </c>
      <c r="G245" s="60">
        <v>82.5</v>
      </c>
      <c r="H245" s="60">
        <v>0</v>
      </c>
      <c r="I245" s="60">
        <v>0.5</v>
      </c>
      <c r="J245" s="60">
        <v>7</v>
      </c>
      <c r="K245" s="60">
        <v>10</v>
      </c>
      <c r="L245" s="232">
        <v>1</v>
      </c>
    </row>
    <row r="246" spans="1:12" x14ac:dyDescent="0.2">
      <c r="A246" s="60">
        <v>8</v>
      </c>
      <c r="B246" s="60" t="s">
        <v>549</v>
      </c>
      <c r="C246" s="54" t="s">
        <v>484</v>
      </c>
      <c r="D246" s="55"/>
      <c r="E246" s="52">
        <f t="shared" si="2"/>
        <v>53.2</v>
      </c>
      <c r="F246" s="60">
        <v>0.4</v>
      </c>
      <c r="G246" s="60">
        <v>82.5</v>
      </c>
      <c r="H246" s="60">
        <v>0</v>
      </c>
      <c r="I246" s="60">
        <v>0.5</v>
      </c>
      <c r="J246" s="60">
        <v>7</v>
      </c>
      <c r="K246" s="60">
        <v>10</v>
      </c>
      <c r="L246" s="232">
        <v>1</v>
      </c>
    </row>
    <row r="247" spans="1:12" x14ac:dyDescent="0.2">
      <c r="A247" s="60">
        <v>8</v>
      </c>
      <c r="B247" s="60" t="s">
        <v>550</v>
      </c>
      <c r="C247" s="54" t="s">
        <v>484</v>
      </c>
      <c r="D247" s="55"/>
      <c r="E247" s="52">
        <f t="shared" si="2"/>
        <v>57.2</v>
      </c>
      <c r="F247" s="60">
        <v>0.4</v>
      </c>
      <c r="G247" s="60">
        <v>82.5</v>
      </c>
      <c r="H247" s="60">
        <v>0</v>
      </c>
      <c r="I247" s="60">
        <v>0.5</v>
      </c>
      <c r="J247" s="60">
        <v>7</v>
      </c>
      <c r="K247" s="60">
        <v>10</v>
      </c>
      <c r="L247" s="232">
        <v>1</v>
      </c>
    </row>
    <row r="248" spans="1:12" x14ac:dyDescent="0.2">
      <c r="A248" s="60">
        <v>8</v>
      </c>
      <c r="B248" s="60" t="s">
        <v>551</v>
      </c>
      <c r="C248" s="54" t="s">
        <v>484</v>
      </c>
      <c r="D248" s="55"/>
      <c r="E248" s="52">
        <f t="shared" si="2"/>
        <v>62.800000000000004</v>
      </c>
      <c r="F248" s="60">
        <v>0.4</v>
      </c>
      <c r="G248" s="60">
        <v>82.5</v>
      </c>
      <c r="H248" s="60">
        <v>0</v>
      </c>
      <c r="I248" s="60">
        <v>0.5</v>
      </c>
      <c r="J248" s="60">
        <v>7</v>
      </c>
      <c r="K248" s="60">
        <v>10</v>
      </c>
      <c r="L248" s="232">
        <v>1</v>
      </c>
    </row>
    <row r="249" spans="1:12" x14ac:dyDescent="0.2">
      <c r="A249" s="60">
        <v>8</v>
      </c>
      <c r="B249" s="60" t="s">
        <v>552</v>
      </c>
      <c r="C249" s="54" t="s">
        <v>484</v>
      </c>
      <c r="D249" s="55"/>
      <c r="E249" s="52">
        <f t="shared" si="2"/>
        <v>69.600000000000009</v>
      </c>
      <c r="F249" s="60">
        <v>0.4</v>
      </c>
      <c r="G249" s="60">
        <v>82.5</v>
      </c>
      <c r="H249" s="60">
        <v>0</v>
      </c>
      <c r="I249" s="60">
        <v>0.5</v>
      </c>
      <c r="J249" s="60">
        <v>7</v>
      </c>
      <c r="K249" s="60">
        <v>10</v>
      </c>
      <c r="L249" s="232">
        <v>1</v>
      </c>
    </row>
    <row r="250" spans="1:12" x14ac:dyDescent="0.2">
      <c r="A250" s="60">
        <v>8</v>
      </c>
      <c r="B250" s="60" t="s">
        <v>553</v>
      </c>
      <c r="C250" s="54" t="s">
        <v>484</v>
      </c>
      <c r="D250" s="55"/>
      <c r="E250" s="52">
        <f t="shared" si="2"/>
        <v>78.400000000000006</v>
      </c>
      <c r="F250" s="60">
        <v>0.4</v>
      </c>
      <c r="G250" s="60">
        <v>82.5</v>
      </c>
      <c r="H250" s="60">
        <v>0</v>
      </c>
      <c r="I250" s="60">
        <v>0.5</v>
      </c>
      <c r="J250" s="60">
        <v>7</v>
      </c>
      <c r="K250" s="60">
        <v>10</v>
      </c>
      <c r="L250" s="232">
        <v>1</v>
      </c>
    </row>
    <row r="251" spans="1:12" x14ac:dyDescent="0.2">
      <c r="A251" s="60">
        <v>8</v>
      </c>
      <c r="B251" s="60" t="s">
        <v>554</v>
      </c>
      <c r="C251" s="54" t="s">
        <v>484</v>
      </c>
      <c r="D251" s="55"/>
      <c r="E251" s="52">
        <f t="shared" si="2"/>
        <v>88.800000000000011</v>
      </c>
      <c r="F251" s="60">
        <v>0.4</v>
      </c>
      <c r="G251" s="60">
        <v>82.5</v>
      </c>
      <c r="H251" s="60">
        <v>0</v>
      </c>
      <c r="I251" s="60">
        <v>0.5</v>
      </c>
      <c r="J251" s="60">
        <v>7</v>
      </c>
      <c r="K251" s="60">
        <v>10</v>
      </c>
      <c r="L251" s="232">
        <v>1</v>
      </c>
    </row>
    <row r="252" spans="1:12" x14ac:dyDescent="0.2">
      <c r="A252" s="60">
        <v>8</v>
      </c>
      <c r="B252" s="60" t="s">
        <v>555</v>
      </c>
      <c r="C252" s="54" t="s">
        <v>484</v>
      </c>
      <c r="D252" s="55"/>
      <c r="E252" s="52">
        <f t="shared" si="2"/>
        <v>98.4</v>
      </c>
      <c r="F252" s="60">
        <v>0.4</v>
      </c>
      <c r="G252" s="60">
        <v>82.5</v>
      </c>
      <c r="H252" s="60">
        <v>0</v>
      </c>
      <c r="I252" s="60">
        <v>0.5</v>
      </c>
      <c r="J252" s="60">
        <v>7</v>
      </c>
      <c r="K252" s="60">
        <v>10</v>
      </c>
      <c r="L252" s="232">
        <v>1</v>
      </c>
    </row>
    <row r="253" spans="1:12" x14ac:dyDescent="0.2">
      <c r="A253" s="60">
        <v>9</v>
      </c>
      <c r="B253" s="60" t="s">
        <v>572</v>
      </c>
      <c r="C253" s="54" t="s">
        <v>485</v>
      </c>
      <c r="D253" s="55"/>
      <c r="E253" s="52">
        <v>195.2</v>
      </c>
      <c r="F253" s="60">
        <v>10</v>
      </c>
      <c r="G253" s="60">
        <v>82.5</v>
      </c>
      <c r="H253" s="60">
        <v>0</v>
      </c>
      <c r="I253" s="60">
        <v>0.5</v>
      </c>
      <c r="J253" s="60">
        <v>7</v>
      </c>
      <c r="K253" s="60">
        <v>10</v>
      </c>
      <c r="L253" s="232">
        <v>1</v>
      </c>
    </row>
    <row r="254" spans="1:12" x14ac:dyDescent="0.2">
      <c r="A254" s="60">
        <v>9</v>
      </c>
      <c r="B254" s="60" t="s">
        <v>573</v>
      </c>
      <c r="C254" s="54" t="s">
        <v>485</v>
      </c>
      <c r="D254" s="55"/>
      <c r="E254" s="52">
        <v>211.1</v>
      </c>
      <c r="F254" s="60">
        <v>10</v>
      </c>
      <c r="G254" s="60">
        <v>82.5</v>
      </c>
      <c r="H254" s="60">
        <v>0</v>
      </c>
      <c r="I254" s="60">
        <v>0.5</v>
      </c>
      <c r="J254" s="60">
        <v>7</v>
      </c>
      <c r="K254" s="60">
        <v>10</v>
      </c>
      <c r="L254" s="232">
        <v>1</v>
      </c>
    </row>
    <row r="255" spans="1:12" x14ac:dyDescent="0.2">
      <c r="A255" s="60">
        <v>9</v>
      </c>
      <c r="B255" s="60" t="s">
        <v>574</v>
      </c>
      <c r="C255" s="54" t="s">
        <v>485</v>
      </c>
      <c r="D255" s="55"/>
      <c r="E255" s="52">
        <v>225.1</v>
      </c>
      <c r="F255" s="60">
        <v>10</v>
      </c>
      <c r="G255" s="60">
        <v>82.5</v>
      </c>
      <c r="H255" s="60">
        <v>0</v>
      </c>
      <c r="I255" s="60">
        <v>0.5</v>
      </c>
      <c r="J255" s="60">
        <v>7</v>
      </c>
      <c r="K255" s="60">
        <v>10</v>
      </c>
      <c r="L255" s="232">
        <v>1</v>
      </c>
    </row>
    <row r="256" spans="1:12" x14ac:dyDescent="0.2">
      <c r="A256" s="60">
        <v>9</v>
      </c>
      <c r="B256" s="60" t="s">
        <v>575</v>
      </c>
      <c r="C256" s="54" t="s">
        <v>485</v>
      </c>
      <c r="D256" s="55"/>
      <c r="E256" s="52">
        <v>250.7</v>
      </c>
      <c r="F256" s="60">
        <v>10</v>
      </c>
      <c r="G256" s="60">
        <v>82.5</v>
      </c>
      <c r="H256" s="60">
        <v>0</v>
      </c>
      <c r="I256" s="60">
        <v>0.5</v>
      </c>
      <c r="J256" s="60">
        <v>7</v>
      </c>
      <c r="K256" s="60">
        <v>10</v>
      </c>
      <c r="L256" s="232">
        <v>1</v>
      </c>
    </row>
    <row r="257" spans="1:12" x14ac:dyDescent="0.2">
      <c r="A257" s="60">
        <v>9</v>
      </c>
      <c r="B257" s="60" t="s">
        <v>576</v>
      </c>
      <c r="C257" s="54" t="s">
        <v>485</v>
      </c>
      <c r="D257" s="55"/>
      <c r="E257" s="52">
        <v>265.39999999999998</v>
      </c>
      <c r="F257" s="60">
        <v>10</v>
      </c>
      <c r="G257" s="60">
        <v>82.5</v>
      </c>
      <c r="H257" s="60">
        <v>0</v>
      </c>
      <c r="I257" s="60">
        <v>0.5</v>
      </c>
      <c r="J257" s="60">
        <v>7</v>
      </c>
      <c r="K257" s="60">
        <v>10</v>
      </c>
      <c r="L257" s="232">
        <v>1</v>
      </c>
    </row>
    <row r="258" spans="1:12" x14ac:dyDescent="0.2">
      <c r="A258" s="60">
        <v>9</v>
      </c>
      <c r="B258" s="60" t="s">
        <v>577</v>
      </c>
      <c r="C258" s="54" t="s">
        <v>485</v>
      </c>
      <c r="D258" s="55"/>
      <c r="E258" s="52">
        <v>336.1</v>
      </c>
      <c r="F258" s="60">
        <v>10</v>
      </c>
      <c r="G258" s="60">
        <v>82.5</v>
      </c>
      <c r="H258" s="60">
        <v>0</v>
      </c>
      <c r="I258" s="60">
        <v>0.5</v>
      </c>
      <c r="J258" s="60">
        <v>7</v>
      </c>
      <c r="K258" s="60">
        <v>10</v>
      </c>
      <c r="L258" s="232">
        <v>1</v>
      </c>
    </row>
    <row r="259" spans="1:12" x14ac:dyDescent="0.2">
      <c r="A259" s="60">
        <v>9</v>
      </c>
      <c r="B259" s="60" t="s">
        <v>578</v>
      </c>
      <c r="C259" s="54" t="s">
        <v>485</v>
      </c>
      <c r="D259" s="55"/>
      <c r="E259" s="52">
        <v>288.10000000000002</v>
      </c>
      <c r="F259" s="60">
        <v>10</v>
      </c>
      <c r="G259" s="60">
        <v>82.5</v>
      </c>
      <c r="H259" s="60">
        <v>0</v>
      </c>
      <c r="I259" s="60">
        <v>0.5</v>
      </c>
      <c r="J259" s="60">
        <v>7</v>
      </c>
      <c r="K259" s="60">
        <v>10</v>
      </c>
      <c r="L259" s="232">
        <v>1</v>
      </c>
    </row>
    <row r="260" spans="1:12" x14ac:dyDescent="0.2">
      <c r="A260" s="60">
        <v>9</v>
      </c>
      <c r="B260" s="60" t="s">
        <v>579</v>
      </c>
      <c r="C260" s="54" t="s">
        <v>485</v>
      </c>
      <c r="D260" s="55"/>
      <c r="E260" s="52">
        <v>363.1</v>
      </c>
      <c r="F260" s="60">
        <v>10</v>
      </c>
      <c r="G260" s="60">
        <v>82.5</v>
      </c>
      <c r="H260" s="60">
        <v>0</v>
      </c>
      <c r="I260" s="60">
        <v>0.5</v>
      </c>
      <c r="J260" s="60">
        <v>7</v>
      </c>
      <c r="K260" s="60">
        <v>10</v>
      </c>
      <c r="L260" s="232">
        <v>1</v>
      </c>
    </row>
    <row r="261" spans="1:12" x14ac:dyDescent="0.2">
      <c r="A261" s="60">
        <v>9</v>
      </c>
      <c r="B261" s="60" t="s">
        <v>580</v>
      </c>
      <c r="C261" s="54" t="s">
        <v>485</v>
      </c>
      <c r="D261" s="55"/>
      <c r="E261" s="52">
        <v>427.4</v>
      </c>
      <c r="F261" s="60">
        <v>10</v>
      </c>
      <c r="G261" s="60">
        <v>82.5</v>
      </c>
      <c r="H261" s="60">
        <v>0</v>
      </c>
      <c r="I261" s="60">
        <v>0.5</v>
      </c>
      <c r="J261" s="60">
        <v>7</v>
      </c>
      <c r="K261" s="60">
        <v>10</v>
      </c>
      <c r="L261" s="232">
        <v>1</v>
      </c>
    </row>
    <row r="262" spans="1:12" x14ac:dyDescent="0.2">
      <c r="A262" s="60">
        <v>9</v>
      </c>
      <c r="B262" s="60" t="s">
        <v>581</v>
      </c>
      <c r="C262" s="54" t="s">
        <v>485</v>
      </c>
      <c r="D262" s="55"/>
      <c r="E262" s="52">
        <v>474.2</v>
      </c>
      <c r="F262" s="60">
        <v>10</v>
      </c>
      <c r="G262" s="60">
        <v>82.5</v>
      </c>
      <c r="H262" s="60">
        <v>0</v>
      </c>
      <c r="I262" s="60">
        <v>0.5</v>
      </c>
      <c r="J262" s="60">
        <v>7</v>
      </c>
      <c r="K262" s="60">
        <v>10</v>
      </c>
      <c r="L262" s="232">
        <v>1</v>
      </c>
    </row>
    <row r="263" spans="1:12" x14ac:dyDescent="0.2">
      <c r="A263" s="60">
        <v>9</v>
      </c>
      <c r="B263" s="60" t="s">
        <v>582</v>
      </c>
      <c r="C263" s="54" t="s">
        <v>485</v>
      </c>
      <c r="D263" s="55"/>
      <c r="E263" s="52">
        <v>522.4</v>
      </c>
      <c r="F263" s="60">
        <v>10</v>
      </c>
      <c r="G263" s="60">
        <v>82.5</v>
      </c>
      <c r="H263" s="60">
        <v>0</v>
      </c>
      <c r="I263" s="60">
        <v>0.5</v>
      </c>
      <c r="J263" s="60">
        <v>7</v>
      </c>
      <c r="K263" s="60">
        <v>10</v>
      </c>
      <c r="L263" s="232">
        <v>1</v>
      </c>
    </row>
    <row r="264" spans="1:12" x14ac:dyDescent="0.2">
      <c r="A264" s="60">
        <v>9</v>
      </c>
      <c r="B264" s="60" t="s">
        <v>583</v>
      </c>
      <c r="C264" s="54" t="s">
        <v>485</v>
      </c>
      <c r="D264" s="55"/>
      <c r="E264" s="52">
        <v>663.3</v>
      </c>
      <c r="F264" s="60">
        <v>10</v>
      </c>
      <c r="G264" s="60">
        <v>82.5</v>
      </c>
      <c r="H264" s="60">
        <v>0</v>
      </c>
      <c r="I264" s="60">
        <v>0.5</v>
      </c>
      <c r="J264" s="60">
        <v>7</v>
      </c>
      <c r="K264" s="60">
        <v>10</v>
      </c>
      <c r="L264" s="232">
        <v>1</v>
      </c>
    </row>
    <row r="265" spans="1:12" x14ac:dyDescent="0.2">
      <c r="A265" s="60">
        <v>9</v>
      </c>
      <c r="B265" s="60" t="s">
        <v>556</v>
      </c>
      <c r="C265" s="54" t="s">
        <v>485</v>
      </c>
      <c r="D265" s="55"/>
      <c r="E265" s="52">
        <v>412.9</v>
      </c>
      <c r="F265" s="60">
        <v>10</v>
      </c>
      <c r="G265" s="60">
        <v>82.5</v>
      </c>
      <c r="H265" s="60">
        <v>0</v>
      </c>
      <c r="I265" s="60">
        <v>0.5</v>
      </c>
      <c r="J265" s="60">
        <v>7</v>
      </c>
      <c r="K265" s="60">
        <v>10</v>
      </c>
      <c r="L265" s="232">
        <v>1</v>
      </c>
    </row>
    <row r="266" spans="1:12" x14ac:dyDescent="0.2">
      <c r="A266" s="60">
        <v>9</v>
      </c>
      <c r="B266" s="60" t="s">
        <v>557</v>
      </c>
      <c r="C266" s="54" t="s">
        <v>485</v>
      </c>
      <c r="D266" s="55"/>
      <c r="E266" s="52">
        <v>436.9</v>
      </c>
      <c r="F266" s="60">
        <v>10</v>
      </c>
      <c r="G266" s="60">
        <v>82.5</v>
      </c>
      <c r="H266" s="60">
        <v>0</v>
      </c>
      <c r="I266" s="60">
        <v>0.5</v>
      </c>
      <c r="J266" s="60">
        <v>7</v>
      </c>
      <c r="K266" s="60">
        <v>10</v>
      </c>
      <c r="L266" s="232">
        <v>1</v>
      </c>
    </row>
    <row r="267" spans="1:12" x14ac:dyDescent="0.2">
      <c r="A267" s="60">
        <v>9</v>
      </c>
      <c r="B267" s="60" t="s">
        <v>558</v>
      </c>
      <c r="C267" s="54" t="s">
        <v>485</v>
      </c>
      <c r="D267" s="55"/>
      <c r="E267" s="52">
        <v>497.8</v>
      </c>
      <c r="F267" s="60">
        <v>10</v>
      </c>
      <c r="G267" s="60">
        <v>82.5</v>
      </c>
      <c r="H267" s="60">
        <v>0</v>
      </c>
      <c r="I267" s="60">
        <v>0.5</v>
      </c>
      <c r="J267" s="60">
        <v>7</v>
      </c>
      <c r="K267" s="60">
        <v>10</v>
      </c>
      <c r="L267" s="232">
        <v>1</v>
      </c>
    </row>
    <row r="268" spans="1:12" x14ac:dyDescent="0.2">
      <c r="A268" s="60">
        <v>9</v>
      </c>
      <c r="B268" s="60" t="s">
        <v>559</v>
      </c>
      <c r="C268" s="54" t="s">
        <v>485</v>
      </c>
      <c r="D268" s="55"/>
      <c r="E268" s="52">
        <v>547.6</v>
      </c>
      <c r="F268" s="60">
        <v>10</v>
      </c>
      <c r="G268" s="60">
        <v>82.5</v>
      </c>
      <c r="H268" s="60">
        <v>0</v>
      </c>
      <c r="I268" s="60">
        <v>0.5</v>
      </c>
      <c r="J268" s="60">
        <v>7</v>
      </c>
      <c r="K268" s="60">
        <v>10</v>
      </c>
      <c r="L268" s="232">
        <v>1</v>
      </c>
    </row>
    <row r="269" spans="1:12" x14ac:dyDescent="0.2">
      <c r="A269" s="60">
        <v>9</v>
      </c>
      <c r="B269" s="60" t="s">
        <v>560</v>
      </c>
      <c r="C269" s="54" t="s">
        <v>485</v>
      </c>
      <c r="D269" s="55"/>
      <c r="E269" s="52">
        <v>575.1</v>
      </c>
      <c r="F269" s="60">
        <v>10</v>
      </c>
      <c r="G269" s="60">
        <v>82.5</v>
      </c>
      <c r="H269" s="60">
        <v>0</v>
      </c>
      <c r="I269" s="60">
        <v>0.5</v>
      </c>
      <c r="J269" s="60">
        <v>7</v>
      </c>
      <c r="K269" s="60">
        <v>10</v>
      </c>
      <c r="L269" s="232">
        <v>1</v>
      </c>
    </row>
    <row r="270" spans="1:12" x14ac:dyDescent="0.2">
      <c r="A270" s="60">
        <v>9</v>
      </c>
      <c r="B270" s="60" t="s">
        <v>561</v>
      </c>
      <c r="C270" s="54" t="s">
        <v>485</v>
      </c>
      <c r="D270" s="55"/>
      <c r="E270" s="52">
        <v>697.3</v>
      </c>
      <c r="F270" s="60">
        <v>10</v>
      </c>
      <c r="G270" s="60">
        <v>82.5</v>
      </c>
      <c r="H270" s="60">
        <v>0</v>
      </c>
      <c r="I270" s="60">
        <v>0.5</v>
      </c>
      <c r="J270" s="60">
        <v>7</v>
      </c>
      <c r="K270" s="60">
        <v>10</v>
      </c>
      <c r="L270" s="232">
        <v>1</v>
      </c>
    </row>
    <row r="271" spans="1:12" x14ac:dyDescent="0.2">
      <c r="A271" s="60">
        <v>9</v>
      </c>
      <c r="B271" s="60" t="s">
        <v>562</v>
      </c>
      <c r="C271" s="54" t="s">
        <v>485</v>
      </c>
      <c r="D271" s="55"/>
      <c r="E271" s="52">
        <v>730.7</v>
      </c>
      <c r="F271" s="60">
        <v>10</v>
      </c>
      <c r="G271" s="60">
        <v>82.5</v>
      </c>
      <c r="H271" s="60">
        <v>0</v>
      </c>
      <c r="I271" s="60">
        <v>0.5</v>
      </c>
      <c r="J271" s="60">
        <v>7</v>
      </c>
      <c r="K271" s="60">
        <v>10</v>
      </c>
      <c r="L271" s="232">
        <v>1</v>
      </c>
    </row>
    <row r="272" spans="1:12" x14ac:dyDescent="0.2">
      <c r="A272" s="60">
        <v>9</v>
      </c>
      <c r="B272" s="60" t="s">
        <v>563</v>
      </c>
      <c r="C272" s="54" t="s">
        <v>485</v>
      </c>
      <c r="D272" s="55"/>
      <c r="E272" s="52">
        <v>949.8</v>
      </c>
      <c r="F272" s="60">
        <v>10</v>
      </c>
      <c r="G272" s="60">
        <v>82.5</v>
      </c>
      <c r="H272" s="60">
        <v>0</v>
      </c>
      <c r="I272" s="60">
        <v>0.5</v>
      </c>
      <c r="J272" s="60">
        <v>7</v>
      </c>
      <c r="K272" s="60">
        <v>10</v>
      </c>
      <c r="L272" s="232">
        <v>1</v>
      </c>
    </row>
    <row r="273" spans="1:12" x14ac:dyDescent="0.2">
      <c r="A273" s="60">
        <v>9</v>
      </c>
      <c r="B273" s="60" t="s">
        <v>584</v>
      </c>
      <c r="C273" s="54" t="s">
        <v>485</v>
      </c>
      <c r="D273" s="55"/>
      <c r="E273" s="52">
        <v>290</v>
      </c>
      <c r="F273" s="60">
        <v>10</v>
      </c>
      <c r="G273" s="60">
        <v>82.5</v>
      </c>
      <c r="H273" s="60">
        <v>0</v>
      </c>
      <c r="I273" s="60">
        <v>0.5</v>
      </c>
      <c r="J273" s="60">
        <v>7</v>
      </c>
      <c r="K273" s="60">
        <v>10</v>
      </c>
      <c r="L273" s="232">
        <v>1</v>
      </c>
    </row>
    <row r="274" spans="1:12" x14ac:dyDescent="0.2">
      <c r="A274" s="60">
        <v>9</v>
      </c>
      <c r="B274" s="60" t="s">
        <v>585</v>
      </c>
      <c r="C274" s="54" t="s">
        <v>485</v>
      </c>
      <c r="D274" s="55"/>
      <c r="E274" s="52">
        <v>325.89999999999998</v>
      </c>
      <c r="F274" s="60">
        <v>10</v>
      </c>
      <c r="G274" s="60">
        <v>82.5</v>
      </c>
      <c r="H274" s="60">
        <v>0</v>
      </c>
      <c r="I274" s="60">
        <v>0.5</v>
      </c>
      <c r="J274" s="60">
        <v>7</v>
      </c>
      <c r="K274" s="60">
        <v>10</v>
      </c>
      <c r="L274" s="232">
        <v>1</v>
      </c>
    </row>
    <row r="275" spans="1:12" x14ac:dyDescent="0.2">
      <c r="A275" s="60">
        <v>9</v>
      </c>
      <c r="B275" s="60" t="s">
        <v>586</v>
      </c>
      <c r="C275" s="54" t="s">
        <v>485</v>
      </c>
      <c r="D275" s="55"/>
      <c r="E275" s="52">
        <v>334</v>
      </c>
      <c r="F275" s="60">
        <v>10</v>
      </c>
      <c r="G275" s="60">
        <v>82.5</v>
      </c>
      <c r="H275" s="60">
        <v>0</v>
      </c>
      <c r="I275" s="60">
        <v>0.5</v>
      </c>
      <c r="J275" s="60">
        <v>7</v>
      </c>
      <c r="K275" s="60">
        <v>10</v>
      </c>
      <c r="L275" s="232">
        <v>1</v>
      </c>
    </row>
    <row r="276" spans="1:12" x14ac:dyDescent="0.2">
      <c r="A276" s="60">
        <v>9</v>
      </c>
      <c r="B276" s="60" t="s">
        <v>587</v>
      </c>
      <c r="C276" s="54" t="s">
        <v>485</v>
      </c>
      <c r="D276" s="55"/>
      <c r="E276" s="52">
        <v>410.3</v>
      </c>
      <c r="F276" s="60">
        <v>10</v>
      </c>
      <c r="G276" s="60">
        <v>82.5</v>
      </c>
      <c r="H276" s="60">
        <v>0</v>
      </c>
      <c r="I276" s="60">
        <v>0.5</v>
      </c>
      <c r="J276" s="60">
        <v>7</v>
      </c>
      <c r="K276" s="60">
        <v>10</v>
      </c>
      <c r="L276" s="232">
        <v>1</v>
      </c>
    </row>
    <row r="277" spans="1:12" x14ac:dyDescent="0.2">
      <c r="A277" s="60">
        <v>9</v>
      </c>
      <c r="B277" s="60" t="s">
        <v>588</v>
      </c>
      <c r="C277" s="54" t="s">
        <v>485</v>
      </c>
      <c r="D277" s="55"/>
      <c r="E277" s="52">
        <v>432.9</v>
      </c>
      <c r="F277" s="60">
        <v>10</v>
      </c>
      <c r="G277" s="60">
        <v>82.5</v>
      </c>
      <c r="H277" s="60">
        <v>0</v>
      </c>
      <c r="I277" s="60">
        <v>0.5</v>
      </c>
      <c r="J277" s="60">
        <v>7</v>
      </c>
      <c r="K277" s="60">
        <v>10</v>
      </c>
      <c r="L277" s="232">
        <v>1</v>
      </c>
    </row>
    <row r="278" spans="1:12" x14ac:dyDescent="0.2">
      <c r="A278" s="60">
        <v>9</v>
      </c>
      <c r="B278" s="60" t="s">
        <v>589</v>
      </c>
      <c r="C278" s="54" t="s">
        <v>485</v>
      </c>
      <c r="D278" s="55"/>
      <c r="E278" s="52">
        <v>451.6</v>
      </c>
      <c r="F278" s="60">
        <v>10</v>
      </c>
      <c r="G278" s="60">
        <v>82.5</v>
      </c>
      <c r="H278" s="60">
        <v>0</v>
      </c>
      <c r="I278" s="60">
        <v>0.5</v>
      </c>
      <c r="J278" s="60">
        <v>7</v>
      </c>
      <c r="K278" s="60">
        <v>10</v>
      </c>
      <c r="L278" s="232">
        <v>1</v>
      </c>
    </row>
    <row r="279" spans="1:12" x14ac:dyDescent="0.2">
      <c r="A279" s="60">
        <v>9</v>
      </c>
      <c r="B279" s="60" t="s">
        <v>590</v>
      </c>
      <c r="C279" s="54" t="s">
        <v>485</v>
      </c>
      <c r="D279" s="55"/>
      <c r="E279" s="52">
        <v>423.4</v>
      </c>
      <c r="F279" s="60">
        <v>10</v>
      </c>
      <c r="G279" s="60">
        <v>82.5</v>
      </c>
      <c r="H279" s="60">
        <v>0</v>
      </c>
      <c r="I279" s="60">
        <v>0.5</v>
      </c>
      <c r="J279" s="60">
        <v>7</v>
      </c>
      <c r="K279" s="60">
        <v>10</v>
      </c>
      <c r="L279" s="232">
        <v>1</v>
      </c>
    </row>
    <row r="280" spans="1:12" x14ac:dyDescent="0.2">
      <c r="A280" s="60">
        <v>9</v>
      </c>
      <c r="B280" s="60" t="s">
        <v>591</v>
      </c>
      <c r="C280" s="54" t="s">
        <v>485</v>
      </c>
      <c r="D280" s="55"/>
      <c r="E280" s="52">
        <v>535.9</v>
      </c>
      <c r="F280" s="60">
        <v>10</v>
      </c>
      <c r="G280" s="60">
        <v>82.5</v>
      </c>
      <c r="H280" s="60">
        <v>0</v>
      </c>
      <c r="I280" s="60">
        <v>0.5</v>
      </c>
      <c r="J280" s="60">
        <v>7</v>
      </c>
      <c r="K280" s="60">
        <v>10</v>
      </c>
      <c r="L280" s="232">
        <v>1</v>
      </c>
    </row>
    <row r="281" spans="1:12" x14ac:dyDescent="0.2">
      <c r="A281" s="60">
        <v>9</v>
      </c>
      <c r="B281" s="60" t="s">
        <v>592</v>
      </c>
      <c r="C281" s="54" t="s">
        <v>485</v>
      </c>
      <c r="D281" s="55"/>
      <c r="E281" s="52">
        <v>619.70000000000005</v>
      </c>
      <c r="F281" s="60">
        <v>10</v>
      </c>
      <c r="G281" s="60">
        <v>82.5</v>
      </c>
      <c r="H281" s="60">
        <v>0</v>
      </c>
      <c r="I281" s="60">
        <v>0.5</v>
      </c>
      <c r="J281" s="60">
        <v>7</v>
      </c>
      <c r="K281" s="60">
        <v>10</v>
      </c>
      <c r="L281" s="232">
        <v>1</v>
      </c>
    </row>
    <row r="282" spans="1:12" x14ac:dyDescent="0.2">
      <c r="A282" s="60">
        <v>9</v>
      </c>
      <c r="B282" s="60" t="s">
        <v>593</v>
      </c>
      <c r="C282" s="54" t="s">
        <v>485</v>
      </c>
      <c r="D282" s="55"/>
      <c r="E282" s="52">
        <v>788.5</v>
      </c>
      <c r="F282" s="60">
        <v>10</v>
      </c>
      <c r="G282" s="60">
        <v>82.5</v>
      </c>
      <c r="H282" s="60">
        <v>0</v>
      </c>
      <c r="I282" s="60">
        <v>0.5</v>
      </c>
      <c r="J282" s="60">
        <v>7</v>
      </c>
      <c r="K282" s="60">
        <v>10</v>
      </c>
      <c r="L282" s="232">
        <v>1</v>
      </c>
    </row>
    <row r="283" spans="1:12" x14ac:dyDescent="0.2">
      <c r="A283" s="60">
        <v>9</v>
      </c>
      <c r="B283" s="60" t="s">
        <v>594</v>
      </c>
      <c r="C283" s="54" t="s">
        <v>485</v>
      </c>
      <c r="D283" s="55"/>
      <c r="E283" s="52">
        <v>852.6</v>
      </c>
      <c r="F283" s="60">
        <v>10</v>
      </c>
      <c r="G283" s="60">
        <v>82.5</v>
      </c>
      <c r="H283" s="60">
        <v>0</v>
      </c>
      <c r="I283" s="60">
        <v>0.5</v>
      </c>
      <c r="J283" s="60">
        <v>7</v>
      </c>
      <c r="K283" s="60">
        <v>10</v>
      </c>
      <c r="L283" s="232">
        <v>1</v>
      </c>
    </row>
    <row r="284" spans="1:12" x14ac:dyDescent="0.2">
      <c r="A284" s="60">
        <v>9</v>
      </c>
      <c r="B284" s="60" t="s">
        <v>595</v>
      </c>
      <c r="C284" s="54" t="s">
        <v>485</v>
      </c>
      <c r="D284" s="55"/>
      <c r="E284" s="52">
        <v>1108.5</v>
      </c>
      <c r="F284" s="60">
        <v>10</v>
      </c>
      <c r="G284" s="60">
        <v>82.5</v>
      </c>
      <c r="H284" s="60">
        <v>0</v>
      </c>
      <c r="I284" s="60">
        <v>0.5</v>
      </c>
      <c r="J284" s="60">
        <v>7</v>
      </c>
      <c r="K284" s="60">
        <v>10</v>
      </c>
      <c r="L284" s="232">
        <v>1</v>
      </c>
    </row>
    <row r="285" spans="1:12" x14ac:dyDescent="0.2">
      <c r="A285" s="60">
        <v>9</v>
      </c>
      <c r="B285" s="60" t="s">
        <v>564</v>
      </c>
      <c r="C285" s="54" t="s">
        <v>485</v>
      </c>
      <c r="D285" s="55"/>
      <c r="E285" s="52">
        <v>585.9</v>
      </c>
      <c r="F285" s="60">
        <v>10</v>
      </c>
      <c r="G285" s="60">
        <v>82.5</v>
      </c>
      <c r="H285" s="60">
        <v>0</v>
      </c>
      <c r="I285" s="60">
        <v>0.5</v>
      </c>
      <c r="J285" s="60">
        <v>7</v>
      </c>
      <c r="K285" s="60">
        <v>10</v>
      </c>
      <c r="L285" s="232">
        <v>1</v>
      </c>
    </row>
    <row r="286" spans="1:12" x14ac:dyDescent="0.2">
      <c r="A286" s="60">
        <v>9</v>
      </c>
      <c r="B286" s="60" t="s">
        <v>565</v>
      </c>
      <c r="C286" s="54" t="s">
        <v>485</v>
      </c>
      <c r="D286" s="55"/>
      <c r="E286" s="52">
        <v>620.4</v>
      </c>
      <c r="F286" s="60">
        <v>10</v>
      </c>
      <c r="G286" s="60">
        <v>82.5</v>
      </c>
      <c r="H286" s="60">
        <v>0</v>
      </c>
      <c r="I286" s="60">
        <v>0.5</v>
      </c>
      <c r="J286" s="60">
        <v>7</v>
      </c>
      <c r="K286" s="60">
        <v>10</v>
      </c>
      <c r="L286" s="232">
        <v>1</v>
      </c>
    </row>
    <row r="287" spans="1:12" x14ac:dyDescent="0.2">
      <c r="A287" s="60">
        <v>9</v>
      </c>
      <c r="B287" s="60" t="s">
        <v>566</v>
      </c>
      <c r="C287" s="54" t="s">
        <v>485</v>
      </c>
      <c r="D287" s="55"/>
      <c r="E287" s="52">
        <v>726.8</v>
      </c>
      <c r="F287" s="60">
        <v>10</v>
      </c>
      <c r="G287" s="60">
        <v>82.5</v>
      </c>
      <c r="H287" s="60">
        <v>0</v>
      </c>
      <c r="I287" s="60">
        <v>0.5</v>
      </c>
      <c r="J287" s="60">
        <v>7</v>
      </c>
      <c r="K287" s="60">
        <v>10</v>
      </c>
      <c r="L287" s="232">
        <v>1</v>
      </c>
    </row>
    <row r="288" spans="1:12" x14ac:dyDescent="0.2">
      <c r="A288" s="60">
        <v>9</v>
      </c>
      <c r="B288" s="60" t="s">
        <v>567</v>
      </c>
      <c r="C288" s="54" t="s">
        <v>485</v>
      </c>
      <c r="D288" s="55"/>
      <c r="E288" s="52">
        <v>788.6</v>
      </c>
      <c r="F288" s="60">
        <v>10</v>
      </c>
      <c r="G288" s="60">
        <v>82.5</v>
      </c>
      <c r="H288" s="60">
        <v>0</v>
      </c>
      <c r="I288" s="60">
        <v>0.5</v>
      </c>
      <c r="J288" s="60">
        <v>7</v>
      </c>
      <c r="K288" s="60">
        <v>10</v>
      </c>
      <c r="L288" s="232">
        <v>1</v>
      </c>
    </row>
    <row r="289" spans="1:12" x14ac:dyDescent="0.2">
      <c r="A289" s="60">
        <v>9</v>
      </c>
      <c r="B289" s="60" t="s">
        <v>568</v>
      </c>
      <c r="C289" s="54" t="s">
        <v>485</v>
      </c>
      <c r="D289" s="55"/>
      <c r="E289" s="52">
        <v>856.9</v>
      </c>
      <c r="F289" s="60">
        <v>10</v>
      </c>
      <c r="G289" s="60">
        <v>82.5</v>
      </c>
      <c r="H289" s="60">
        <v>0</v>
      </c>
      <c r="I289" s="60">
        <v>0.5</v>
      </c>
      <c r="J289" s="60">
        <v>7</v>
      </c>
      <c r="K289" s="60">
        <v>10</v>
      </c>
      <c r="L289" s="232">
        <v>1</v>
      </c>
    </row>
    <row r="290" spans="1:12" x14ac:dyDescent="0.2">
      <c r="A290" s="60">
        <v>9</v>
      </c>
      <c r="B290" s="60" t="s">
        <v>569</v>
      </c>
      <c r="C290" s="54" t="s">
        <v>485</v>
      </c>
      <c r="D290" s="55"/>
      <c r="E290" s="52">
        <v>936.4</v>
      </c>
      <c r="F290" s="60">
        <v>10</v>
      </c>
      <c r="G290" s="60">
        <v>82.5</v>
      </c>
      <c r="H290" s="60">
        <v>0</v>
      </c>
      <c r="I290" s="60">
        <v>0.5</v>
      </c>
      <c r="J290" s="60">
        <v>7</v>
      </c>
      <c r="K290" s="60">
        <v>10</v>
      </c>
      <c r="L290" s="232">
        <v>1</v>
      </c>
    </row>
    <row r="291" spans="1:12" x14ac:dyDescent="0.2">
      <c r="A291" s="60">
        <v>9</v>
      </c>
      <c r="B291" s="60" t="s">
        <v>570</v>
      </c>
      <c r="C291" s="54" t="s">
        <v>485</v>
      </c>
      <c r="D291" s="55"/>
      <c r="E291" s="52">
        <v>1023.1</v>
      </c>
      <c r="F291" s="60">
        <v>10</v>
      </c>
      <c r="G291" s="60">
        <v>82.5</v>
      </c>
      <c r="H291" s="60">
        <v>0</v>
      </c>
      <c r="I291" s="60">
        <v>0.5</v>
      </c>
      <c r="J291" s="60">
        <v>7</v>
      </c>
      <c r="K291" s="60">
        <v>10</v>
      </c>
      <c r="L291" s="232">
        <v>1</v>
      </c>
    </row>
    <row r="292" spans="1:12" x14ac:dyDescent="0.2">
      <c r="A292" s="60">
        <v>9</v>
      </c>
      <c r="B292" s="60" t="s">
        <v>571</v>
      </c>
      <c r="C292" s="54" t="s">
        <v>485</v>
      </c>
      <c r="D292" s="55"/>
      <c r="E292" s="52">
        <v>1422.6</v>
      </c>
      <c r="F292" s="60">
        <v>10</v>
      </c>
      <c r="G292" s="60">
        <v>82.5</v>
      </c>
      <c r="H292" s="60">
        <v>0</v>
      </c>
      <c r="I292" s="60">
        <v>0.5</v>
      </c>
      <c r="J292" s="60">
        <v>7</v>
      </c>
      <c r="K292" s="60">
        <v>10</v>
      </c>
      <c r="L292" s="232">
        <v>1</v>
      </c>
    </row>
    <row r="293" spans="1:12" x14ac:dyDescent="0.2">
      <c r="A293" s="60">
        <v>9</v>
      </c>
      <c r="B293" s="60" t="s">
        <v>596</v>
      </c>
      <c r="C293" s="54" t="s">
        <v>485</v>
      </c>
      <c r="D293" s="55"/>
      <c r="E293" s="52">
        <f>0.34*E253</f>
        <v>66.367999999999995</v>
      </c>
      <c r="F293" s="60">
        <v>10</v>
      </c>
      <c r="G293" s="60">
        <v>82.5</v>
      </c>
      <c r="H293" s="60">
        <v>0</v>
      </c>
      <c r="I293" s="60">
        <v>0.5</v>
      </c>
      <c r="J293" s="60">
        <v>7</v>
      </c>
      <c r="K293" s="60">
        <v>10</v>
      </c>
      <c r="L293" s="232">
        <v>1</v>
      </c>
    </row>
    <row r="294" spans="1:12" x14ac:dyDescent="0.2">
      <c r="A294" s="60">
        <v>9</v>
      </c>
      <c r="B294" s="60" t="s">
        <v>597</v>
      </c>
      <c r="C294" s="54" t="s">
        <v>485</v>
      </c>
      <c r="D294" s="55"/>
      <c r="E294" s="52">
        <f t="shared" ref="E294:E312" si="3">0.34*E254</f>
        <v>71.774000000000001</v>
      </c>
      <c r="F294" s="60">
        <v>10</v>
      </c>
      <c r="G294" s="60">
        <v>82.5</v>
      </c>
      <c r="H294" s="60">
        <v>0</v>
      </c>
      <c r="I294" s="60">
        <v>0.5</v>
      </c>
      <c r="J294" s="60">
        <v>7</v>
      </c>
      <c r="K294" s="60">
        <v>10</v>
      </c>
      <c r="L294" s="232">
        <v>1</v>
      </c>
    </row>
    <row r="295" spans="1:12" x14ac:dyDescent="0.2">
      <c r="A295" s="60">
        <v>9</v>
      </c>
      <c r="B295" s="60" t="s">
        <v>598</v>
      </c>
      <c r="C295" s="54" t="s">
        <v>485</v>
      </c>
      <c r="D295" s="55"/>
      <c r="E295" s="52">
        <f t="shared" si="3"/>
        <v>76.534000000000006</v>
      </c>
      <c r="F295" s="60">
        <v>10</v>
      </c>
      <c r="G295" s="60">
        <v>82.5</v>
      </c>
      <c r="H295" s="60">
        <v>0</v>
      </c>
      <c r="I295" s="60">
        <v>0.5</v>
      </c>
      <c r="J295" s="60">
        <v>7</v>
      </c>
      <c r="K295" s="60">
        <v>10</v>
      </c>
      <c r="L295" s="232">
        <v>1</v>
      </c>
    </row>
    <row r="296" spans="1:12" x14ac:dyDescent="0.2">
      <c r="A296" s="60">
        <v>9</v>
      </c>
      <c r="B296" s="60" t="s">
        <v>599</v>
      </c>
      <c r="C296" s="54" t="s">
        <v>485</v>
      </c>
      <c r="D296" s="55"/>
      <c r="E296" s="52">
        <f t="shared" si="3"/>
        <v>85.238</v>
      </c>
      <c r="F296" s="60">
        <v>10</v>
      </c>
      <c r="G296" s="60">
        <v>82.5</v>
      </c>
      <c r="H296" s="60">
        <v>0</v>
      </c>
      <c r="I296" s="60">
        <v>0.5</v>
      </c>
      <c r="J296" s="60">
        <v>7</v>
      </c>
      <c r="K296" s="60">
        <v>10</v>
      </c>
      <c r="L296" s="232">
        <v>1</v>
      </c>
    </row>
    <row r="297" spans="1:12" x14ac:dyDescent="0.2">
      <c r="A297" s="60">
        <v>9</v>
      </c>
      <c r="B297" s="60" t="s">
        <v>600</v>
      </c>
      <c r="C297" s="54" t="s">
        <v>485</v>
      </c>
      <c r="D297" s="55"/>
      <c r="E297" s="52">
        <f t="shared" si="3"/>
        <v>90.236000000000004</v>
      </c>
      <c r="F297" s="60">
        <v>10</v>
      </c>
      <c r="G297" s="60">
        <v>82.5</v>
      </c>
      <c r="H297" s="60">
        <v>0</v>
      </c>
      <c r="I297" s="60">
        <v>0.5</v>
      </c>
      <c r="J297" s="60">
        <v>7</v>
      </c>
      <c r="K297" s="60">
        <v>10</v>
      </c>
      <c r="L297" s="232">
        <v>1</v>
      </c>
    </row>
    <row r="298" spans="1:12" x14ac:dyDescent="0.2">
      <c r="A298" s="60">
        <v>9</v>
      </c>
      <c r="B298" s="60" t="s">
        <v>601</v>
      </c>
      <c r="C298" s="54" t="s">
        <v>485</v>
      </c>
      <c r="D298" s="55"/>
      <c r="E298" s="52">
        <f t="shared" si="3"/>
        <v>114.27400000000002</v>
      </c>
      <c r="F298" s="60">
        <v>10</v>
      </c>
      <c r="G298" s="60">
        <v>82.5</v>
      </c>
      <c r="H298" s="60">
        <v>0</v>
      </c>
      <c r="I298" s="60">
        <v>0.5</v>
      </c>
      <c r="J298" s="60">
        <v>7</v>
      </c>
      <c r="K298" s="60">
        <v>10</v>
      </c>
      <c r="L298" s="232">
        <v>1</v>
      </c>
    </row>
    <row r="299" spans="1:12" x14ac:dyDescent="0.2">
      <c r="A299" s="60">
        <v>9</v>
      </c>
      <c r="B299" s="60" t="s">
        <v>602</v>
      </c>
      <c r="C299" s="54" t="s">
        <v>485</v>
      </c>
      <c r="D299" s="55"/>
      <c r="E299" s="52">
        <f t="shared" si="3"/>
        <v>97.954000000000008</v>
      </c>
      <c r="F299" s="60">
        <v>10</v>
      </c>
      <c r="G299" s="60">
        <v>82.5</v>
      </c>
      <c r="H299" s="60">
        <v>0</v>
      </c>
      <c r="I299" s="60">
        <v>0.5</v>
      </c>
      <c r="J299" s="60">
        <v>7</v>
      </c>
      <c r="K299" s="60">
        <v>10</v>
      </c>
      <c r="L299" s="232">
        <v>1</v>
      </c>
    </row>
    <row r="300" spans="1:12" x14ac:dyDescent="0.2">
      <c r="A300" s="60">
        <v>9</v>
      </c>
      <c r="B300" s="60" t="s">
        <v>603</v>
      </c>
      <c r="C300" s="54" t="s">
        <v>485</v>
      </c>
      <c r="D300" s="55"/>
      <c r="E300" s="52">
        <f t="shared" si="3"/>
        <v>123.45400000000002</v>
      </c>
      <c r="F300" s="60">
        <v>10</v>
      </c>
      <c r="G300" s="60">
        <v>82.5</v>
      </c>
      <c r="H300" s="60">
        <v>0</v>
      </c>
      <c r="I300" s="60">
        <v>0.5</v>
      </c>
      <c r="J300" s="60">
        <v>7</v>
      </c>
      <c r="K300" s="60">
        <v>10</v>
      </c>
      <c r="L300" s="232">
        <v>1</v>
      </c>
    </row>
    <row r="301" spans="1:12" x14ac:dyDescent="0.2">
      <c r="A301" s="60">
        <v>9</v>
      </c>
      <c r="B301" s="60" t="s">
        <v>604</v>
      </c>
      <c r="C301" s="54" t="s">
        <v>485</v>
      </c>
      <c r="D301" s="55"/>
      <c r="E301" s="52">
        <f t="shared" si="3"/>
        <v>145.316</v>
      </c>
      <c r="F301" s="60">
        <v>10</v>
      </c>
      <c r="G301" s="60">
        <v>82.5</v>
      </c>
      <c r="H301" s="60">
        <v>0</v>
      </c>
      <c r="I301" s="60">
        <v>0.5</v>
      </c>
      <c r="J301" s="60">
        <v>7</v>
      </c>
      <c r="K301" s="60">
        <v>10</v>
      </c>
      <c r="L301" s="232">
        <v>1</v>
      </c>
    </row>
    <row r="302" spans="1:12" x14ac:dyDescent="0.2">
      <c r="A302" s="60">
        <v>9</v>
      </c>
      <c r="B302" s="60" t="s">
        <v>605</v>
      </c>
      <c r="C302" s="54" t="s">
        <v>485</v>
      </c>
      <c r="D302" s="55"/>
      <c r="E302" s="52">
        <f t="shared" si="3"/>
        <v>161.22800000000001</v>
      </c>
      <c r="F302" s="60">
        <v>10</v>
      </c>
      <c r="G302" s="60">
        <v>82.5</v>
      </c>
      <c r="H302" s="60">
        <v>0</v>
      </c>
      <c r="I302" s="60">
        <v>0.5</v>
      </c>
      <c r="J302" s="60">
        <v>7</v>
      </c>
      <c r="K302" s="60">
        <v>10</v>
      </c>
      <c r="L302" s="232">
        <v>1</v>
      </c>
    </row>
    <row r="303" spans="1:12" x14ac:dyDescent="0.2">
      <c r="A303" s="60">
        <v>9</v>
      </c>
      <c r="B303" s="60" t="s">
        <v>606</v>
      </c>
      <c r="C303" s="54" t="s">
        <v>485</v>
      </c>
      <c r="D303" s="55"/>
      <c r="E303" s="52">
        <f t="shared" si="3"/>
        <v>177.61600000000001</v>
      </c>
      <c r="F303" s="60">
        <v>10</v>
      </c>
      <c r="G303" s="60">
        <v>82.5</v>
      </c>
      <c r="H303" s="60">
        <v>0</v>
      </c>
      <c r="I303" s="60">
        <v>0.5</v>
      </c>
      <c r="J303" s="60">
        <v>7</v>
      </c>
      <c r="K303" s="60">
        <v>10</v>
      </c>
      <c r="L303" s="232">
        <v>1</v>
      </c>
    </row>
    <row r="304" spans="1:12" x14ac:dyDescent="0.2">
      <c r="A304" s="60">
        <v>9</v>
      </c>
      <c r="B304" s="60" t="s">
        <v>607</v>
      </c>
      <c r="C304" s="54" t="s">
        <v>485</v>
      </c>
      <c r="D304" s="55"/>
      <c r="E304" s="52">
        <f t="shared" si="3"/>
        <v>225.52199999999999</v>
      </c>
      <c r="F304" s="60">
        <v>10</v>
      </c>
      <c r="G304" s="60">
        <v>82.5</v>
      </c>
      <c r="H304" s="60">
        <v>0</v>
      </c>
      <c r="I304" s="60">
        <v>0.5</v>
      </c>
      <c r="J304" s="60">
        <v>7</v>
      </c>
      <c r="K304" s="60">
        <v>10</v>
      </c>
      <c r="L304" s="232">
        <v>1</v>
      </c>
    </row>
    <row r="305" spans="1:12" x14ac:dyDescent="0.2">
      <c r="A305" s="60">
        <v>9</v>
      </c>
      <c r="B305" s="60" t="s">
        <v>608</v>
      </c>
      <c r="C305" s="54" t="s">
        <v>485</v>
      </c>
      <c r="D305" s="55"/>
      <c r="E305" s="52">
        <f t="shared" si="3"/>
        <v>140.386</v>
      </c>
      <c r="F305" s="60">
        <v>10</v>
      </c>
      <c r="G305" s="60">
        <v>82.5</v>
      </c>
      <c r="H305" s="60">
        <v>0</v>
      </c>
      <c r="I305" s="60">
        <v>0.5</v>
      </c>
      <c r="J305" s="60">
        <v>7</v>
      </c>
      <c r="K305" s="60">
        <v>10</v>
      </c>
      <c r="L305" s="232">
        <v>1</v>
      </c>
    </row>
    <row r="306" spans="1:12" x14ac:dyDescent="0.2">
      <c r="A306" s="60">
        <v>9</v>
      </c>
      <c r="B306" s="60" t="s">
        <v>609</v>
      </c>
      <c r="C306" s="54" t="s">
        <v>485</v>
      </c>
      <c r="D306" s="55"/>
      <c r="E306" s="52">
        <f t="shared" si="3"/>
        <v>148.54599999999999</v>
      </c>
      <c r="F306" s="60">
        <v>10</v>
      </c>
      <c r="G306" s="60">
        <v>82.5</v>
      </c>
      <c r="H306" s="60">
        <v>0</v>
      </c>
      <c r="I306" s="60">
        <v>0.5</v>
      </c>
      <c r="J306" s="60">
        <v>7</v>
      </c>
      <c r="K306" s="60">
        <v>10</v>
      </c>
      <c r="L306" s="232">
        <v>1</v>
      </c>
    </row>
    <row r="307" spans="1:12" x14ac:dyDescent="0.2">
      <c r="A307" s="60">
        <v>9</v>
      </c>
      <c r="B307" s="60" t="s">
        <v>610</v>
      </c>
      <c r="C307" s="54" t="s">
        <v>485</v>
      </c>
      <c r="D307" s="55"/>
      <c r="E307" s="52">
        <f t="shared" si="3"/>
        <v>169.25200000000001</v>
      </c>
      <c r="F307" s="60">
        <v>10</v>
      </c>
      <c r="G307" s="60">
        <v>82.5</v>
      </c>
      <c r="H307" s="60">
        <v>0</v>
      </c>
      <c r="I307" s="60">
        <v>0.5</v>
      </c>
      <c r="J307" s="60">
        <v>7</v>
      </c>
      <c r="K307" s="60">
        <v>10</v>
      </c>
      <c r="L307" s="232">
        <v>1</v>
      </c>
    </row>
    <row r="308" spans="1:12" x14ac:dyDescent="0.2">
      <c r="A308" s="60">
        <v>9</v>
      </c>
      <c r="B308" s="60" t="s">
        <v>611</v>
      </c>
      <c r="C308" s="54" t="s">
        <v>485</v>
      </c>
      <c r="D308" s="55"/>
      <c r="E308" s="52">
        <f t="shared" si="3"/>
        <v>186.18400000000003</v>
      </c>
      <c r="F308" s="60">
        <v>10</v>
      </c>
      <c r="G308" s="60">
        <v>82.5</v>
      </c>
      <c r="H308" s="60">
        <v>0</v>
      </c>
      <c r="I308" s="60">
        <v>0.5</v>
      </c>
      <c r="J308" s="60">
        <v>7</v>
      </c>
      <c r="K308" s="60">
        <v>10</v>
      </c>
      <c r="L308" s="232">
        <v>1</v>
      </c>
    </row>
    <row r="309" spans="1:12" x14ac:dyDescent="0.2">
      <c r="A309" s="60">
        <v>9</v>
      </c>
      <c r="B309" s="60" t="s">
        <v>612</v>
      </c>
      <c r="C309" s="54" t="s">
        <v>485</v>
      </c>
      <c r="D309" s="55"/>
      <c r="E309" s="52">
        <f t="shared" si="3"/>
        <v>195.53400000000002</v>
      </c>
      <c r="F309" s="60">
        <v>10</v>
      </c>
      <c r="G309" s="60">
        <v>82.5</v>
      </c>
      <c r="H309" s="60">
        <v>0</v>
      </c>
      <c r="I309" s="60">
        <v>0.5</v>
      </c>
      <c r="J309" s="60">
        <v>7</v>
      </c>
      <c r="K309" s="60">
        <v>10</v>
      </c>
      <c r="L309" s="232">
        <v>1</v>
      </c>
    </row>
    <row r="310" spans="1:12" x14ac:dyDescent="0.2">
      <c r="A310" s="60">
        <v>9</v>
      </c>
      <c r="B310" s="60" t="s">
        <v>613</v>
      </c>
      <c r="C310" s="54" t="s">
        <v>485</v>
      </c>
      <c r="D310" s="55"/>
      <c r="E310" s="52">
        <f t="shared" si="3"/>
        <v>237.08199999999999</v>
      </c>
      <c r="F310" s="60">
        <v>10</v>
      </c>
      <c r="G310" s="60">
        <v>82.5</v>
      </c>
      <c r="H310" s="60">
        <v>0</v>
      </c>
      <c r="I310" s="60">
        <v>0.5</v>
      </c>
      <c r="J310" s="60">
        <v>7</v>
      </c>
      <c r="K310" s="60">
        <v>10</v>
      </c>
      <c r="L310" s="232">
        <v>1</v>
      </c>
    </row>
    <row r="311" spans="1:12" x14ac:dyDescent="0.2">
      <c r="A311" s="60">
        <v>9</v>
      </c>
      <c r="B311" s="60" t="s">
        <v>614</v>
      </c>
      <c r="C311" s="54" t="s">
        <v>485</v>
      </c>
      <c r="D311" s="55"/>
      <c r="E311" s="52">
        <f t="shared" si="3"/>
        <v>248.43800000000005</v>
      </c>
      <c r="F311" s="60">
        <v>10</v>
      </c>
      <c r="G311" s="60">
        <v>82.5</v>
      </c>
      <c r="H311" s="60">
        <v>0</v>
      </c>
      <c r="I311" s="60">
        <v>0.5</v>
      </c>
      <c r="J311" s="60">
        <v>7</v>
      </c>
      <c r="K311" s="60">
        <v>10</v>
      </c>
      <c r="L311" s="232">
        <v>1</v>
      </c>
    </row>
    <row r="312" spans="1:12" x14ac:dyDescent="0.2">
      <c r="A312" s="60">
        <v>9</v>
      </c>
      <c r="B312" s="60" t="s">
        <v>615</v>
      </c>
      <c r="C312" s="54" t="s">
        <v>485</v>
      </c>
      <c r="D312" s="55"/>
      <c r="E312" s="52">
        <f t="shared" si="3"/>
        <v>322.93200000000002</v>
      </c>
      <c r="F312" s="60">
        <v>10</v>
      </c>
      <c r="G312" s="60">
        <v>82.5</v>
      </c>
      <c r="H312" s="60">
        <v>0</v>
      </c>
      <c r="I312" s="60">
        <v>0.5</v>
      </c>
      <c r="J312" s="60">
        <v>7</v>
      </c>
      <c r="K312" s="60">
        <v>10</v>
      </c>
      <c r="L312" s="232">
        <v>1</v>
      </c>
    </row>
    <row r="313" spans="1:12" x14ac:dyDescent="0.2">
      <c r="A313" s="60">
        <v>10</v>
      </c>
      <c r="B313" s="60" t="s">
        <v>616</v>
      </c>
      <c r="C313" s="54" t="s">
        <v>486</v>
      </c>
      <c r="D313" s="55"/>
      <c r="E313" s="52">
        <v>4086</v>
      </c>
      <c r="F313" s="60">
        <v>110</v>
      </c>
      <c r="G313" s="60">
        <v>71</v>
      </c>
      <c r="H313" s="60">
        <v>9</v>
      </c>
      <c r="I313" s="60">
        <v>1</v>
      </c>
      <c r="J313" s="60">
        <v>7</v>
      </c>
      <c r="K313" s="60">
        <v>12</v>
      </c>
      <c r="L313" s="232">
        <v>1</v>
      </c>
    </row>
    <row r="314" spans="1:12" x14ac:dyDescent="0.2">
      <c r="A314" s="60">
        <v>10</v>
      </c>
      <c r="B314" s="60" t="s">
        <v>617</v>
      </c>
      <c r="C314" s="54" t="s">
        <v>486</v>
      </c>
      <c r="D314" s="55"/>
      <c r="E314" s="52">
        <v>5580</v>
      </c>
      <c r="F314" s="60">
        <v>110</v>
      </c>
      <c r="G314" s="60">
        <v>71</v>
      </c>
      <c r="H314" s="60">
        <v>9</v>
      </c>
      <c r="I314" s="60">
        <v>1</v>
      </c>
      <c r="J314" s="60">
        <v>7</v>
      </c>
      <c r="K314" s="60">
        <v>12</v>
      </c>
      <c r="L314" s="232">
        <v>1</v>
      </c>
    </row>
    <row r="315" spans="1:12" x14ac:dyDescent="0.2">
      <c r="A315" s="60">
        <v>10</v>
      </c>
      <c r="B315" s="60" t="s">
        <v>618</v>
      </c>
      <c r="C315" s="54" t="s">
        <v>486</v>
      </c>
      <c r="D315" s="55"/>
      <c r="E315" s="52">
        <v>4984</v>
      </c>
      <c r="F315" s="60">
        <v>110</v>
      </c>
      <c r="G315" s="60">
        <v>71</v>
      </c>
      <c r="H315" s="60">
        <v>9</v>
      </c>
      <c r="I315" s="60">
        <v>1</v>
      </c>
      <c r="J315" s="60">
        <v>7</v>
      </c>
      <c r="K315" s="60">
        <v>12</v>
      </c>
      <c r="L315" s="232">
        <v>2</v>
      </c>
    </row>
    <row r="316" spans="1:12" x14ac:dyDescent="0.2">
      <c r="A316" s="60">
        <v>10</v>
      </c>
      <c r="B316" s="60" t="s">
        <v>619</v>
      </c>
      <c r="C316" s="54" t="s">
        <v>486</v>
      </c>
      <c r="D316" s="55"/>
      <c r="E316" s="52">
        <v>5009</v>
      </c>
      <c r="F316" s="60">
        <v>110</v>
      </c>
      <c r="G316" s="60">
        <v>71</v>
      </c>
      <c r="H316" s="60">
        <v>9</v>
      </c>
      <c r="I316" s="60">
        <v>1</v>
      </c>
      <c r="J316" s="60">
        <v>7</v>
      </c>
      <c r="K316" s="60">
        <v>12</v>
      </c>
      <c r="L316" s="232">
        <v>1</v>
      </c>
    </row>
    <row r="317" spans="1:12" x14ac:dyDescent="0.2">
      <c r="A317" s="60">
        <v>10</v>
      </c>
      <c r="B317" s="60" t="s">
        <v>620</v>
      </c>
      <c r="C317" s="54" t="s">
        <v>486</v>
      </c>
      <c r="D317" s="55"/>
      <c r="E317" s="52">
        <v>13023.4</v>
      </c>
      <c r="F317" s="60">
        <v>110</v>
      </c>
      <c r="G317" s="60">
        <v>71</v>
      </c>
      <c r="H317" s="60">
        <v>9</v>
      </c>
      <c r="I317" s="60">
        <v>1</v>
      </c>
      <c r="J317" s="60">
        <v>7</v>
      </c>
      <c r="K317" s="60">
        <v>12</v>
      </c>
      <c r="L317" s="232">
        <v>2</v>
      </c>
    </row>
    <row r="318" spans="1:12" x14ac:dyDescent="0.2">
      <c r="A318" s="60">
        <v>10</v>
      </c>
      <c r="B318" s="60" t="s">
        <v>621</v>
      </c>
      <c r="C318" s="54" t="s">
        <v>486</v>
      </c>
      <c r="D318" s="55"/>
      <c r="E318" s="52">
        <v>17245.3</v>
      </c>
      <c r="F318" s="60">
        <v>110</v>
      </c>
      <c r="G318" s="60">
        <v>71</v>
      </c>
      <c r="H318" s="60">
        <v>9</v>
      </c>
      <c r="I318" s="60">
        <v>1</v>
      </c>
      <c r="J318" s="60">
        <v>7</v>
      </c>
      <c r="K318" s="60">
        <v>12</v>
      </c>
      <c r="L318" s="232">
        <v>2</v>
      </c>
    </row>
    <row r="319" spans="1:12" x14ac:dyDescent="0.2">
      <c r="A319" s="60">
        <v>10</v>
      </c>
      <c r="B319" s="60" t="s">
        <v>622</v>
      </c>
      <c r="C319" s="54" t="s">
        <v>486</v>
      </c>
      <c r="D319" s="55"/>
      <c r="E319" s="52">
        <v>7000</v>
      </c>
      <c r="F319" s="60">
        <v>220</v>
      </c>
      <c r="G319" s="60">
        <v>71</v>
      </c>
      <c r="H319" s="60">
        <v>9</v>
      </c>
      <c r="I319" s="60">
        <v>1</v>
      </c>
      <c r="J319" s="60">
        <v>7</v>
      </c>
      <c r="K319" s="60">
        <v>12</v>
      </c>
      <c r="L319" s="232">
        <v>2</v>
      </c>
    </row>
    <row r="320" spans="1:12" x14ac:dyDescent="0.2">
      <c r="A320" s="60">
        <v>10</v>
      </c>
      <c r="B320" s="60" t="s">
        <v>623</v>
      </c>
      <c r="C320" s="54" t="s">
        <v>486</v>
      </c>
      <c r="D320" s="55"/>
      <c r="E320" s="52">
        <v>8420</v>
      </c>
      <c r="F320" s="60">
        <v>220</v>
      </c>
      <c r="G320" s="60">
        <v>71</v>
      </c>
      <c r="H320" s="60">
        <v>9</v>
      </c>
      <c r="I320" s="60">
        <v>1</v>
      </c>
      <c r="J320" s="60">
        <v>7</v>
      </c>
      <c r="K320" s="60">
        <v>12</v>
      </c>
      <c r="L320" s="232">
        <v>2</v>
      </c>
    </row>
    <row r="321" spans="1:12" x14ac:dyDescent="0.2">
      <c r="A321" s="60">
        <v>10</v>
      </c>
      <c r="B321" s="60" t="s">
        <v>624</v>
      </c>
      <c r="C321" s="54" t="s">
        <v>486</v>
      </c>
      <c r="D321" s="55"/>
      <c r="E321" s="52">
        <v>21050</v>
      </c>
      <c r="F321" s="60">
        <v>220</v>
      </c>
      <c r="G321" s="60">
        <v>71</v>
      </c>
      <c r="H321" s="60">
        <v>9</v>
      </c>
      <c r="I321" s="60">
        <v>1</v>
      </c>
      <c r="J321" s="60">
        <v>7</v>
      </c>
      <c r="K321" s="60">
        <v>12</v>
      </c>
      <c r="L321" s="232">
        <v>2</v>
      </c>
    </row>
    <row r="322" spans="1:12" x14ac:dyDescent="0.2">
      <c r="A322" s="60">
        <v>10</v>
      </c>
      <c r="B322" s="60" t="s">
        <v>625</v>
      </c>
      <c r="C322" s="54" t="s">
        <v>486</v>
      </c>
      <c r="D322" s="55"/>
      <c r="E322" s="52">
        <v>5734</v>
      </c>
      <c r="F322" s="60">
        <v>110</v>
      </c>
      <c r="G322" s="60">
        <v>71</v>
      </c>
      <c r="H322" s="60">
        <v>9</v>
      </c>
      <c r="I322" s="60">
        <v>1</v>
      </c>
      <c r="J322" s="60">
        <v>7</v>
      </c>
      <c r="K322" s="60">
        <v>12</v>
      </c>
      <c r="L322" s="232">
        <v>1</v>
      </c>
    </row>
    <row r="323" spans="1:12" x14ac:dyDescent="0.2">
      <c r="A323" s="60">
        <v>10</v>
      </c>
      <c r="B323" s="60" t="s">
        <v>626</v>
      </c>
      <c r="C323" s="54" t="s">
        <v>486</v>
      </c>
      <c r="D323" s="55"/>
      <c r="E323" s="52">
        <v>8324</v>
      </c>
      <c r="F323" s="60">
        <v>110</v>
      </c>
      <c r="G323" s="60">
        <v>71</v>
      </c>
      <c r="H323" s="60">
        <v>9</v>
      </c>
      <c r="I323" s="60">
        <v>1</v>
      </c>
      <c r="J323" s="60">
        <v>7</v>
      </c>
      <c r="K323" s="60">
        <v>12</v>
      </c>
      <c r="L323" s="232">
        <v>1</v>
      </c>
    </row>
    <row r="324" spans="1:12" x14ac:dyDescent="0.2">
      <c r="A324" s="60">
        <v>10</v>
      </c>
      <c r="B324" s="60" t="s">
        <v>627</v>
      </c>
      <c r="C324" s="54" t="s">
        <v>486</v>
      </c>
      <c r="D324" s="55"/>
      <c r="E324" s="52">
        <v>7480</v>
      </c>
      <c r="F324" s="60">
        <v>110</v>
      </c>
      <c r="G324" s="60">
        <v>71</v>
      </c>
      <c r="H324" s="60">
        <v>9</v>
      </c>
      <c r="I324" s="60">
        <v>1</v>
      </c>
      <c r="J324" s="60">
        <v>7</v>
      </c>
      <c r="K324" s="60">
        <v>12</v>
      </c>
      <c r="L324" s="232">
        <v>2</v>
      </c>
    </row>
    <row r="325" spans="1:12" x14ac:dyDescent="0.2">
      <c r="A325" s="60">
        <v>10</v>
      </c>
      <c r="B325" s="60" t="s">
        <v>628</v>
      </c>
      <c r="C325" s="54" t="s">
        <v>486</v>
      </c>
      <c r="D325" s="55"/>
      <c r="E325" s="52">
        <v>7512</v>
      </c>
      <c r="F325" s="60">
        <v>110</v>
      </c>
      <c r="G325" s="60">
        <v>71</v>
      </c>
      <c r="H325" s="60">
        <v>9</v>
      </c>
      <c r="I325" s="60">
        <v>1</v>
      </c>
      <c r="J325" s="60">
        <v>7</v>
      </c>
      <c r="K325" s="60">
        <v>12</v>
      </c>
      <c r="L325" s="232">
        <v>1</v>
      </c>
    </row>
    <row r="326" spans="1:12" x14ac:dyDescent="0.2">
      <c r="A326" s="60">
        <v>10</v>
      </c>
      <c r="B326" s="60" t="s">
        <v>629</v>
      </c>
      <c r="C326" s="54" t="s">
        <v>486</v>
      </c>
      <c r="D326" s="55"/>
      <c r="E326" s="52">
        <v>19014.2</v>
      </c>
      <c r="F326" s="60">
        <v>110</v>
      </c>
      <c r="G326" s="60">
        <v>71</v>
      </c>
      <c r="H326" s="60">
        <v>9</v>
      </c>
      <c r="I326" s="60">
        <v>1</v>
      </c>
      <c r="J326" s="60">
        <v>7</v>
      </c>
      <c r="K326" s="60">
        <v>12</v>
      </c>
      <c r="L326" s="232">
        <v>2</v>
      </c>
    </row>
    <row r="327" spans="1:12" x14ac:dyDescent="0.2">
      <c r="A327" s="60">
        <v>10</v>
      </c>
      <c r="B327" s="60" t="s">
        <v>630</v>
      </c>
      <c r="C327" s="54" t="s">
        <v>486</v>
      </c>
      <c r="D327" s="55"/>
      <c r="E327" s="52">
        <v>26660.799999999999</v>
      </c>
      <c r="F327" s="60">
        <v>110</v>
      </c>
      <c r="G327" s="60">
        <v>71</v>
      </c>
      <c r="H327" s="60">
        <v>9</v>
      </c>
      <c r="I327" s="60">
        <v>1</v>
      </c>
      <c r="J327" s="60">
        <v>7</v>
      </c>
      <c r="K327" s="60">
        <v>12</v>
      </c>
      <c r="L327" s="232">
        <v>2</v>
      </c>
    </row>
    <row r="328" spans="1:12" x14ac:dyDescent="0.2">
      <c r="A328" s="60">
        <v>10</v>
      </c>
      <c r="B328" s="60" t="s">
        <v>631</v>
      </c>
      <c r="C328" s="54" t="s">
        <v>486</v>
      </c>
      <c r="D328" s="55"/>
      <c r="E328" s="52">
        <v>11200</v>
      </c>
      <c r="F328" s="60">
        <v>110</v>
      </c>
      <c r="G328" s="60">
        <v>71</v>
      </c>
      <c r="H328" s="60">
        <v>9</v>
      </c>
      <c r="I328" s="60">
        <v>1</v>
      </c>
      <c r="J328" s="60">
        <v>7</v>
      </c>
      <c r="K328" s="60">
        <v>12</v>
      </c>
      <c r="L328" s="232">
        <v>2</v>
      </c>
    </row>
    <row r="329" spans="1:12" x14ac:dyDescent="0.2">
      <c r="A329" s="60">
        <v>10</v>
      </c>
      <c r="B329" s="60" t="s">
        <v>632</v>
      </c>
      <c r="C329" s="54" t="s">
        <v>486</v>
      </c>
      <c r="D329" s="55"/>
      <c r="E329" s="52">
        <v>9870</v>
      </c>
      <c r="F329" s="60">
        <v>220</v>
      </c>
      <c r="G329" s="60">
        <v>71</v>
      </c>
      <c r="H329" s="60">
        <v>9</v>
      </c>
      <c r="I329" s="60">
        <v>1</v>
      </c>
      <c r="J329" s="60">
        <v>7</v>
      </c>
      <c r="K329" s="60">
        <v>12</v>
      </c>
      <c r="L329" s="232">
        <v>2</v>
      </c>
    </row>
    <row r="330" spans="1:12" x14ac:dyDescent="0.2">
      <c r="A330" s="60">
        <v>10</v>
      </c>
      <c r="B330" s="60" t="s">
        <v>633</v>
      </c>
      <c r="C330" s="54" t="s">
        <v>486</v>
      </c>
      <c r="D330" s="55"/>
      <c r="E330" s="52">
        <v>24675</v>
      </c>
      <c r="F330" s="60">
        <v>220</v>
      </c>
      <c r="G330" s="60">
        <v>71</v>
      </c>
      <c r="H330" s="60">
        <v>9</v>
      </c>
      <c r="I330" s="60">
        <v>1</v>
      </c>
      <c r="J330" s="60">
        <v>7</v>
      </c>
      <c r="K330" s="60">
        <v>12</v>
      </c>
      <c r="L330" s="232">
        <v>2</v>
      </c>
    </row>
    <row r="331" spans="1:12" x14ac:dyDescent="0.2">
      <c r="A331" s="60">
        <v>10</v>
      </c>
      <c r="B331" s="52" t="s">
        <v>1303</v>
      </c>
      <c r="C331" s="54" t="s">
        <v>486</v>
      </c>
      <c r="D331" s="55"/>
      <c r="E331" s="52">
        <f>0.34*E322</f>
        <v>1949.5600000000002</v>
      </c>
      <c r="F331" s="60">
        <v>110</v>
      </c>
      <c r="G331" s="60">
        <v>71</v>
      </c>
      <c r="H331" s="60">
        <v>9</v>
      </c>
      <c r="I331" s="60">
        <v>1</v>
      </c>
      <c r="J331" s="60">
        <v>7</v>
      </c>
      <c r="K331" s="60">
        <v>12</v>
      </c>
      <c r="L331" s="232">
        <v>1</v>
      </c>
    </row>
    <row r="332" spans="1:12" x14ac:dyDescent="0.2">
      <c r="A332" s="60">
        <v>10</v>
      </c>
      <c r="B332" s="52" t="s">
        <v>1304</v>
      </c>
      <c r="C332" s="54" t="s">
        <v>486</v>
      </c>
      <c r="D332" s="55"/>
      <c r="E332" s="52">
        <f t="shared" ref="E332:E339" si="4">0.34*E323</f>
        <v>2830.1600000000003</v>
      </c>
      <c r="F332" s="60">
        <v>110</v>
      </c>
      <c r="G332" s="60">
        <v>71</v>
      </c>
      <c r="H332" s="60">
        <v>9</v>
      </c>
      <c r="I332" s="60">
        <v>1</v>
      </c>
      <c r="J332" s="60">
        <v>7</v>
      </c>
      <c r="K332" s="60">
        <v>12</v>
      </c>
      <c r="L332" s="232">
        <v>1</v>
      </c>
    </row>
    <row r="333" spans="1:12" x14ac:dyDescent="0.2">
      <c r="A333" s="60">
        <v>10</v>
      </c>
      <c r="B333" s="52" t="s">
        <v>1305</v>
      </c>
      <c r="C333" s="54" t="s">
        <v>486</v>
      </c>
      <c r="D333" s="55"/>
      <c r="E333" s="52">
        <f t="shared" si="4"/>
        <v>2543.2000000000003</v>
      </c>
      <c r="F333" s="60">
        <v>110</v>
      </c>
      <c r="G333" s="60">
        <v>71</v>
      </c>
      <c r="H333" s="60">
        <v>9</v>
      </c>
      <c r="I333" s="60">
        <v>1</v>
      </c>
      <c r="J333" s="60">
        <v>7</v>
      </c>
      <c r="K333" s="60">
        <v>12</v>
      </c>
      <c r="L333" s="232">
        <v>2</v>
      </c>
    </row>
    <row r="334" spans="1:12" x14ac:dyDescent="0.2">
      <c r="A334" s="60">
        <v>10</v>
      </c>
      <c r="B334" s="52" t="s">
        <v>1306</v>
      </c>
      <c r="C334" s="54" t="s">
        <v>486</v>
      </c>
      <c r="D334" s="55"/>
      <c r="E334" s="52">
        <f t="shared" si="4"/>
        <v>2554.0800000000004</v>
      </c>
      <c r="F334" s="60">
        <v>110</v>
      </c>
      <c r="G334" s="60">
        <v>71</v>
      </c>
      <c r="H334" s="60">
        <v>9</v>
      </c>
      <c r="I334" s="60">
        <v>1</v>
      </c>
      <c r="J334" s="60">
        <v>7</v>
      </c>
      <c r="K334" s="60">
        <v>12</v>
      </c>
      <c r="L334" s="232">
        <v>1</v>
      </c>
    </row>
    <row r="335" spans="1:12" x14ac:dyDescent="0.2">
      <c r="A335" s="60">
        <v>10</v>
      </c>
      <c r="B335" s="52" t="s">
        <v>1307</v>
      </c>
      <c r="C335" s="54" t="s">
        <v>486</v>
      </c>
      <c r="D335" s="55"/>
      <c r="E335" s="52">
        <f t="shared" si="4"/>
        <v>6464.8280000000004</v>
      </c>
      <c r="F335" s="60">
        <v>110</v>
      </c>
      <c r="G335" s="60">
        <v>71</v>
      </c>
      <c r="H335" s="60">
        <v>9</v>
      </c>
      <c r="I335" s="60">
        <v>1</v>
      </c>
      <c r="J335" s="60">
        <v>7</v>
      </c>
      <c r="K335" s="60">
        <v>12</v>
      </c>
      <c r="L335" s="232">
        <v>2</v>
      </c>
    </row>
    <row r="336" spans="1:12" x14ac:dyDescent="0.2">
      <c r="A336" s="60">
        <v>10</v>
      </c>
      <c r="B336" s="52" t="s">
        <v>1308</v>
      </c>
      <c r="C336" s="54" t="s">
        <v>486</v>
      </c>
      <c r="D336" s="55"/>
      <c r="E336" s="52">
        <f t="shared" si="4"/>
        <v>9064.6720000000005</v>
      </c>
      <c r="F336" s="60">
        <v>110</v>
      </c>
      <c r="G336" s="60">
        <v>71</v>
      </c>
      <c r="H336" s="60">
        <v>9</v>
      </c>
      <c r="I336" s="60">
        <v>1</v>
      </c>
      <c r="J336" s="60">
        <v>7</v>
      </c>
      <c r="K336" s="60">
        <v>12</v>
      </c>
      <c r="L336" s="232">
        <v>2</v>
      </c>
    </row>
    <row r="337" spans="1:12" x14ac:dyDescent="0.2">
      <c r="A337" s="60">
        <v>10</v>
      </c>
      <c r="B337" s="52" t="s">
        <v>1309</v>
      </c>
      <c r="C337" s="54" t="s">
        <v>486</v>
      </c>
      <c r="D337" s="55"/>
      <c r="E337" s="52">
        <f t="shared" si="4"/>
        <v>3808.0000000000005</v>
      </c>
      <c r="F337" s="60">
        <v>220</v>
      </c>
      <c r="G337" s="60">
        <v>71</v>
      </c>
      <c r="H337" s="60">
        <v>9</v>
      </c>
      <c r="I337" s="60">
        <v>1</v>
      </c>
      <c r="J337" s="60">
        <v>7</v>
      </c>
      <c r="K337" s="60">
        <v>12</v>
      </c>
      <c r="L337" s="232">
        <v>2</v>
      </c>
    </row>
    <row r="338" spans="1:12" x14ac:dyDescent="0.2">
      <c r="A338" s="60">
        <v>10</v>
      </c>
      <c r="B338" s="52" t="s">
        <v>1310</v>
      </c>
      <c r="C338" s="54" t="s">
        <v>486</v>
      </c>
      <c r="D338" s="55"/>
      <c r="E338" s="52">
        <f t="shared" si="4"/>
        <v>3355.8</v>
      </c>
      <c r="F338" s="60">
        <v>220</v>
      </c>
      <c r="G338" s="60">
        <v>71</v>
      </c>
      <c r="H338" s="60">
        <v>9</v>
      </c>
      <c r="I338" s="60">
        <v>1</v>
      </c>
      <c r="J338" s="60">
        <v>7</v>
      </c>
      <c r="K338" s="60">
        <v>12</v>
      </c>
      <c r="L338" s="232">
        <v>2</v>
      </c>
    </row>
    <row r="339" spans="1:12" x14ac:dyDescent="0.2">
      <c r="A339" s="60">
        <v>10</v>
      </c>
      <c r="B339" s="52" t="s">
        <v>1311</v>
      </c>
      <c r="C339" s="54" t="s">
        <v>486</v>
      </c>
      <c r="D339" s="55"/>
      <c r="E339" s="52">
        <f t="shared" si="4"/>
        <v>8389.5</v>
      </c>
      <c r="F339" s="60">
        <v>220</v>
      </c>
      <c r="G339" s="60">
        <v>71</v>
      </c>
      <c r="H339" s="60">
        <v>9</v>
      </c>
      <c r="I339" s="60">
        <v>1</v>
      </c>
      <c r="J339" s="60">
        <v>7</v>
      </c>
      <c r="K339" s="60">
        <v>12</v>
      </c>
      <c r="L339" s="232">
        <v>2</v>
      </c>
    </row>
    <row r="340" spans="1:12" x14ac:dyDescent="0.2">
      <c r="B340" s="60" t="s">
        <v>933</v>
      </c>
      <c r="D340" s="55"/>
      <c r="F340" s="60">
        <v>0.4</v>
      </c>
      <c r="G340" s="60">
        <v>69</v>
      </c>
      <c r="H340" s="60">
        <v>0.8</v>
      </c>
      <c r="I340" s="60">
        <v>1.1000000000000001</v>
      </c>
      <c r="J340" s="60">
        <v>14.9</v>
      </c>
      <c r="K340" s="60">
        <v>14.2</v>
      </c>
      <c r="L340" s="63"/>
    </row>
    <row r="341" spans="1:12" x14ac:dyDescent="0.2">
      <c r="B341" s="60" t="s">
        <v>934</v>
      </c>
      <c r="D341" s="55"/>
      <c r="F341" s="60">
        <v>10</v>
      </c>
      <c r="G341" s="60">
        <v>69</v>
      </c>
      <c r="H341" s="60">
        <v>0.8</v>
      </c>
      <c r="I341" s="60">
        <v>1.1000000000000001</v>
      </c>
      <c r="J341" s="60">
        <v>14.9</v>
      </c>
      <c r="K341" s="60">
        <v>14.2</v>
      </c>
      <c r="L341" s="63"/>
    </row>
    <row r="342" spans="1:12" x14ac:dyDescent="0.2">
      <c r="D342" s="55"/>
      <c r="L342" s="63"/>
    </row>
    <row r="343" spans="1:12" x14ac:dyDescent="0.2">
      <c r="A343" s="60">
        <v>11</v>
      </c>
      <c r="B343" s="47" t="s">
        <v>652</v>
      </c>
      <c r="D343" s="55"/>
      <c r="L343" s="63"/>
    </row>
    <row r="344" spans="1:12" x14ac:dyDescent="0.2">
      <c r="B344" s="60" t="s">
        <v>1273</v>
      </c>
      <c r="C344" s="54" t="s">
        <v>487</v>
      </c>
      <c r="D344" s="55"/>
      <c r="E344" s="52">
        <v>662.2</v>
      </c>
      <c r="F344" s="55">
        <v>1</v>
      </c>
      <c r="G344" s="60">
        <v>82.5</v>
      </c>
      <c r="I344" s="60">
        <v>0.5</v>
      </c>
      <c r="J344" s="60">
        <v>7</v>
      </c>
      <c r="K344" s="60">
        <v>10</v>
      </c>
      <c r="L344" s="63"/>
    </row>
    <row r="345" spans="1:12" x14ac:dyDescent="0.2">
      <c r="B345" s="60" t="s">
        <v>1275</v>
      </c>
      <c r="C345" s="54" t="s">
        <v>487</v>
      </c>
      <c r="D345" s="55"/>
      <c r="E345" s="52">
        <f>E344*1.8</f>
        <v>1191.96</v>
      </c>
      <c r="F345" s="55">
        <v>1</v>
      </c>
      <c r="G345" s="60">
        <v>82.5</v>
      </c>
      <c r="I345" s="60">
        <v>0.5</v>
      </c>
      <c r="J345" s="60">
        <v>7</v>
      </c>
      <c r="K345" s="60">
        <v>10</v>
      </c>
      <c r="L345" s="63"/>
    </row>
    <row r="346" spans="1:12" x14ac:dyDescent="0.2">
      <c r="B346" s="60" t="s">
        <v>1331</v>
      </c>
      <c r="C346" s="54" t="s">
        <v>487</v>
      </c>
      <c r="D346" s="55"/>
      <c r="E346" s="52">
        <v>662.2</v>
      </c>
      <c r="F346" s="55">
        <v>10</v>
      </c>
      <c r="G346" s="60">
        <v>82.5</v>
      </c>
      <c r="I346" s="60">
        <v>0.5</v>
      </c>
      <c r="J346" s="60">
        <v>7</v>
      </c>
      <c r="K346" s="60">
        <v>10</v>
      </c>
      <c r="L346" s="63"/>
    </row>
    <row r="347" spans="1:12" x14ac:dyDescent="0.2">
      <c r="B347" s="60" t="s">
        <v>1332</v>
      </c>
      <c r="C347" s="54" t="s">
        <v>487</v>
      </c>
      <c r="D347" s="55"/>
      <c r="E347" s="52">
        <f>E346*1.8</f>
        <v>1191.96</v>
      </c>
      <c r="F347" s="55">
        <v>10</v>
      </c>
      <c r="G347" s="60">
        <v>82.5</v>
      </c>
      <c r="I347" s="60">
        <v>0.5</v>
      </c>
      <c r="J347" s="60">
        <v>7</v>
      </c>
      <c r="K347" s="60">
        <v>10</v>
      </c>
      <c r="L347" s="63"/>
    </row>
    <row r="348" spans="1:12" x14ac:dyDescent="0.2">
      <c r="B348" s="60" t="s">
        <v>1274</v>
      </c>
      <c r="C348" s="54" t="s">
        <v>487</v>
      </c>
      <c r="D348" s="55"/>
      <c r="E348" s="52">
        <v>983.7</v>
      </c>
      <c r="F348" s="55">
        <v>220</v>
      </c>
      <c r="G348" s="60">
        <v>71</v>
      </c>
      <c r="H348" s="60">
        <v>9</v>
      </c>
      <c r="I348" s="60">
        <v>1</v>
      </c>
      <c r="J348" s="60">
        <v>7</v>
      </c>
      <c r="K348" s="60">
        <v>12</v>
      </c>
      <c r="L348" s="63"/>
    </row>
    <row r="349" spans="1:12" x14ac:dyDescent="0.2">
      <c r="B349" s="60" t="s">
        <v>1276</v>
      </c>
      <c r="C349" s="54" t="s">
        <v>487</v>
      </c>
      <c r="D349" s="55"/>
      <c r="E349" s="52">
        <f>E348*1.8</f>
        <v>1770.66</v>
      </c>
      <c r="F349" s="55">
        <v>220</v>
      </c>
      <c r="G349" s="60">
        <v>71</v>
      </c>
      <c r="H349" s="60">
        <v>9</v>
      </c>
      <c r="I349" s="60">
        <v>1</v>
      </c>
      <c r="J349" s="60">
        <v>7</v>
      </c>
      <c r="K349" s="60">
        <v>12</v>
      </c>
      <c r="L349" s="63"/>
    </row>
    <row r="350" spans="1:12" x14ac:dyDescent="0.2">
      <c r="B350" s="60" t="s">
        <v>1277</v>
      </c>
      <c r="C350" s="54" t="s">
        <v>487</v>
      </c>
      <c r="D350" s="55"/>
      <c r="E350" s="52">
        <v>247.3</v>
      </c>
      <c r="F350" s="55">
        <v>10</v>
      </c>
      <c r="G350" s="60">
        <v>82.5</v>
      </c>
      <c r="I350" s="60">
        <v>0.5</v>
      </c>
      <c r="J350" s="60">
        <v>7</v>
      </c>
      <c r="K350" s="60">
        <v>10</v>
      </c>
      <c r="L350" s="63"/>
    </row>
    <row r="351" spans="1:12" x14ac:dyDescent="0.2">
      <c r="B351" s="60" t="s">
        <v>1278</v>
      </c>
      <c r="C351" s="54" t="s">
        <v>487</v>
      </c>
      <c r="D351" s="55"/>
      <c r="E351" s="52">
        <f>E350*1.8</f>
        <v>445.14000000000004</v>
      </c>
      <c r="F351" s="55">
        <v>10</v>
      </c>
      <c r="G351" s="60">
        <v>82.5</v>
      </c>
      <c r="I351" s="60">
        <v>0.5</v>
      </c>
      <c r="J351" s="60">
        <v>7</v>
      </c>
      <c r="K351" s="60">
        <v>10</v>
      </c>
      <c r="L351" s="63"/>
    </row>
    <row r="352" spans="1:12" x14ac:dyDescent="0.2">
      <c r="D352" s="55"/>
      <c r="L352" s="63"/>
    </row>
    <row r="353" spans="1:16" x14ac:dyDescent="0.2">
      <c r="A353" s="60">
        <v>12</v>
      </c>
      <c r="B353" s="47" t="s">
        <v>661</v>
      </c>
      <c r="D353" s="55"/>
      <c r="L353" s="63"/>
    </row>
    <row r="354" spans="1:16" x14ac:dyDescent="0.2">
      <c r="B354" s="60" t="s">
        <v>664</v>
      </c>
      <c r="C354" s="54" t="s">
        <v>488</v>
      </c>
      <c r="D354" s="55"/>
      <c r="E354" s="52">
        <v>16.510000000000002</v>
      </c>
      <c r="F354" s="60">
        <v>0</v>
      </c>
      <c r="G354" s="60">
        <v>93</v>
      </c>
      <c r="H354" s="60">
        <v>0</v>
      </c>
      <c r="I354" s="60">
        <v>0</v>
      </c>
      <c r="J354" s="60">
        <v>7</v>
      </c>
      <c r="K354" s="60">
        <v>0</v>
      </c>
      <c r="L354" s="63"/>
    </row>
    <row r="355" spans="1:16" x14ac:dyDescent="0.2">
      <c r="B355" s="60" t="s">
        <v>665</v>
      </c>
      <c r="C355" s="54" t="s">
        <v>488</v>
      </c>
      <c r="D355" s="55"/>
      <c r="E355" s="217">
        <v>79.430000000000007</v>
      </c>
      <c r="F355" s="60">
        <v>0</v>
      </c>
      <c r="G355" s="60">
        <v>93</v>
      </c>
      <c r="H355" s="60">
        <v>0</v>
      </c>
      <c r="I355" s="60">
        <v>0</v>
      </c>
      <c r="J355" s="60">
        <v>7</v>
      </c>
      <c r="K355" s="60">
        <v>0</v>
      </c>
      <c r="L355" s="63"/>
    </row>
    <row r="356" spans="1:16" x14ac:dyDescent="0.2">
      <c r="B356" s="60" t="s">
        <v>666</v>
      </c>
      <c r="C356" s="54" t="s">
        <v>488</v>
      </c>
      <c r="D356" s="55"/>
      <c r="E356" s="52">
        <v>14.03</v>
      </c>
      <c r="F356" s="60">
        <v>0</v>
      </c>
      <c r="G356" s="60">
        <v>93</v>
      </c>
      <c r="H356" s="60">
        <v>0</v>
      </c>
      <c r="I356" s="60">
        <v>0</v>
      </c>
      <c r="J356" s="60">
        <v>7</v>
      </c>
      <c r="K356" s="60">
        <v>0</v>
      </c>
      <c r="L356" s="63"/>
    </row>
    <row r="357" spans="1:16" x14ac:dyDescent="0.2">
      <c r="B357" s="60" t="s">
        <v>1188</v>
      </c>
      <c r="C357" s="54" t="s">
        <v>488</v>
      </c>
      <c r="D357" s="55"/>
      <c r="E357" s="52">
        <v>18.11</v>
      </c>
      <c r="F357" s="60">
        <v>0</v>
      </c>
      <c r="G357" s="60">
        <v>93</v>
      </c>
      <c r="H357" s="60">
        <v>0</v>
      </c>
      <c r="I357" s="60">
        <v>0</v>
      </c>
      <c r="J357" s="60">
        <v>7</v>
      </c>
      <c r="K357" s="60">
        <v>0</v>
      </c>
      <c r="L357" s="63"/>
    </row>
    <row r="358" spans="1:16" x14ac:dyDescent="0.2">
      <c r="B358" s="60" t="s">
        <v>663</v>
      </c>
      <c r="C358" s="54" t="s">
        <v>488</v>
      </c>
      <c r="D358" s="55"/>
      <c r="E358" s="52">
        <v>5.14</v>
      </c>
      <c r="F358" s="60">
        <v>0</v>
      </c>
      <c r="G358" s="60">
        <v>93</v>
      </c>
      <c r="H358" s="60">
        <v>0</v>
      </c>
      <c r="I358" s="60">
        <v>0</v>
      </c>
      <c r="J358" s="60">
        <v>7</v>
      </c>
      <c r="K358" s="60">
        <v>0</v>
      </c>
      <c r="L358" s="63"/>
    </row>
    <row r="359" spans="1:16" x14ac:dyDescent="0.2">
      <c r="D359" s="55"/>
      <c r="L359" s="63"/>
    </row>
    <row r="360" spans="1:16" x14ac:dyDescent="0.2">
      <c r="A360" s="60">
        <v>13</v>
      </c>
      <c r="B360" s="47" t="s">
        <v>662</v>
      </c>
      <c r="D360" s="55"/>
      <c r="L360" s="63"/>
    </row>
    <row r="361" spans="1:16" x14ac:dyDescent="0.2">
      <c r="B361" s="60" t="s">
        <v>658</v>
      </c>
      <c r="C361" s="54" t="s">
        <v>489</v>
      </c>
      <c r="D361" s="55"/>
      <c r="E361" s="52">
        <v>124.4</v>
      </c>
      <c r="F361" s="60">
        <v>0</v>
      </c>
      <c r="G361" s="60">
        <v>82.5</v>
      </c>
      <c r="I361" s="60">
        <v>0.5</v>
      </c>
      <c r="J361" s="60">
        <v>7</v>
      </c>
      <c r="K361" s="60">
        <v>10</v>
      </c>
      <c r="L361" s="63"/>
    </row>
    <row r="362" spans="1:16" x14ac:dyDescent="0.2">
      <c r="B362" s="60" t="s">
        <v>659</v>
      </c>
      <c r="C362" s="54" t="s">
        <v>489</v>
      </c>
      <c r="D362" s="55"/>
      <c r="E362" s="52">
        <v>157.9</v>
      </c>
      <c r="F362" s="60">
        <v>0</v>
      </c>
      <c r="G362" s="60">
        <v>82.5</v>
      </c>
      <c r="I362" s="60">
        <v>0.5</v>
      </c>
      <c r="J362" s="60">
        <v>7</v>
      </c>
      <c r="K362" s="60">
        <v>10</v>
      </c>
      <c r="L362" s="63"/>
    </row>
    <row r="363" spans="1:16" x14ac:dyDescent="0.2">
      <c r="B363" s="60" t="s">
        <v>660</v>
      </c>
      <c r="C363" s="54" t="s">
        <v>489</v>
      </c>
      <c r="D363" s="55"/>
      <c r="E363" s="52">
        <v>238.7</v>
      </c>
      <c r="F363" s="60">
        <v>0</v>
      </c>
      <c r="G363" s="60">
        <v>82.5</v>
      </c>
      <c r="I363" s="60">
        <v>0.5</v>
      </c>
      <c r="J363" s="60">
        <v>7</v>
      </c>
      <c r="K363" s="60">
        <v>10</v>
      </c>
      <c r="L363" s="63"/>
    </row>
    <row r="364" spans="1:16" x14ac:dyDescent="0.2">
      <c r="D364" s="55"/>
      <c r="L364" s="63"/>
    </row>
    <row r="365" spans="1:16" ht="13.5" x14ac:dyDescent="0.25">
      <c r="B365" s="22" t="s">
        <v>926</v>
      </c>
      <c r="D365" s="55"/>
      <c r="L365" s="63"/>
    </row>
    <row r="366" spans="1:16" x14ac:dyDescent="0.2">
      <c r="A366" s="60">
        <v>15</v>
      </c>
      <c r="B366" s="47" t="s">
        <v>682</v>
      </c>
      <c r="C366" s="54" t="s">
        <v>331</v>
      </c>
      <c r="D366" s="55" t="s">
        <v>476</v>
      </c>
      <c r="E366" s="52" t="s">
        <v>333</v>
      </c>
      <c r="F366" s="60" t="s">
        <v>319</v>
      </c>
      <c r="G366" s="60" t="s">
        <v>184</v>
      </c>
      <c r="H366" s="60" t="s">
        <v>4</v>
      </c>
      <c r="I366" s="60" t="s">
        <v>259</v>
      </c>
      <c r="J366" s="60" t="s">
        <v>311</v>
      </c>
      <c r="K366" s="60" t="s">
        <v>474</v>
      </c>
      <c r="L366" s="63"/>
    </row>
    <row r="367" spans="1:16" x14ac:dyDescent="0.2">
      <c r="B367" s="52" t="s">
        <v>1148</v>
      </c>
      <c r="C367" s="54" t="s">
        <v>491</v>
      </c>
      <c r="D367" s="55"/>
      <c r="E367" s="52">
        <v>15250</v>
      </c>
      <c r="F367" s="60">
        <v>35</v>
      </c>
      <c r="G367" s="60">
        <v>33</v>
      </c>
      <c r="H367" s="60">
        <v>55</v>
      </c>
      <c r="I367" s="60">
        <v>3.8</v>
      </c>
      <c r="J367" s="60">
        <v>4</v>
      </c>
      <c r="K367" s="60">
        <v>4.2</v>
      </c>
      <c r="L367" s="63"/>
      <c r="M367" s="47"/>
      <c r="O367" s="55"/>
      <c r="P367" s="52"/>
    </row>
    <row r="368" spans="1:16" x14ac:dyDescent="0.2">
      <c r="B368" s="60" t="s">
        <v>1130</v>
      </c>
      <c r="C368" s="54" t="s">
        <v>491</v>
      </c>
      <c r="D368" s="55"/>
      <c r="E368" s="52">
        <v>15680</v>
      </c>
      <c r="F368" s="60">
        <v>35</v>
      </c>
      <c r="G368" s="60">
        <v>33</v>
      </c>
      <c r="H368" s="60">
        <v>55</v>
      </c>
      <c r="I368" s="60">
        <v>3.8</v>
      </c>
      <c r="J368" s="60">
        <v>4</v>
      </c>
      <c r="K368" s="60">
        <v>4.2</v>
      </c>
      <c r="L368" s="63"/>
      <c r="M368" s="52"/>
      <c r="O368" s="55"/>
      <c r="P368" s="52"/>
    </row>
    <row r="369" spans="2:16" x14ac:dyDescent="0.2">
      <c r="B369" s="60" t="s">
        <v>1131</v>
      </c>
      <c r="C369" s="54" t="s">
        <v>491</v>
      </c>
      <c r="D369" s="55"/>
      <c r="E369" s="52">
        <v>19612</v>
      </c>
      <c r="F369" s="60">
        <v>35</v>
      </c>
      <c r="G369" s="60">
        <v>33</v>
      </c>
      <c r="H369" s="60">
        <v>55</v>
      </c>
      <c r="I369" s="60">
        <v>3.8</v>
      </c>
      <c r="J369" s="60">
        <v>4</v>
      </c>
      <c r="K369" s="60">
        <v>4.2</v>
      </c>
      <c r="L369" s="63"/>
      <c r="O369" s="55"/>
      <c r="P369" s="52"/>
    </row>
    <row r="370" spans="2:16" x14ac:dyDescent="0.2">
      <c r="B370" s="60" t="s">
        <v>672</v>
      </c>
      <c r="C370" s="54" t="s">
        <v>491</v>
      </c>
      <c r="D370" s="55"/>
      <c r="E370" s="52">
        <v>48254</v>
      </c>
      <c r="F370" s="60">
        <v>110</v>
      </c>
      <c r="G370" s="60">
        <v>35</v>
      </c>
      <c r="H370" s="60">
        <v>55</v>
      </c>
      <c r="I370" s="60">
        <v>3.8</v>
      </c>
      <c r="J370" s="60">
        <v>3</v>
      </c>
      <c r="K370" s="60">
        <v>3.2</v>
      </c>
      <c r="L370" s="63"/>
      <c r="O370" s="55"/>
      <c r="P370" s="52"/>
    </row>
    <row r="371" spans="2:16" x14ac:dyDescent="0.2">
      <c r="B371" s="60" t="s">
        <v>671</v>
      </c>
      <c r="C371" s="54" t="s">
        <v>491</v>
      </c>
      <c r="D371" s="55"/>
      <c r="E371" s="52">
        <v>57883</v>
      </c>
      <c r="F371" s="60">
        <v>110</v>
      </c>
      <c r="G371" s="60">
        <v>35</v>
      </c>
      <c r="H371" s="60">
        <v>55</v>
      </c>
      <c r="I371" s="60">
        <v>3.8</v>
      </c>
      <c r="J371" s="60">
        <v>3</v>
      </c>
      <c r="K371" s="60">
        <v>3.2</v>
      </c>
      <c r="L371" s="63"/>
      <c r="O371" s="55"/>
      <c r="P371" s="52"/>
    </row>
    <row r="372" spans="2:16" x14ac:dyDescent="0.2">
      <c r="B372" s="60" t="s">
        <v>1132</v>
      </c>
      <c r="C372" s="54" t="s">
        <v>491</v>
      </c>
      <c r="D372" s="55"/>
      <c r="E372" s="52">
        <v>42884</v>
      </c>
      <c r="F372" s="60">
        <v>110</v>
      </c>
      <c r="G372" s="60">
        <v>35</v>
      </c>
      <c r="H372" s="60">
        <v>55</v>
      </c>
      <c r="I372" s="60">
        <v>3.8</v>
      </c>
      <c r="J372" s="60">
        <v>3</v>
      </c>
      <c r="K372" s="60">
        <v>3.2</v>
      </c>
      <c r="L372" s="63"/>
      <c r="O372" s="55"/>
      <c r="P372" s="52"/>
    </row>
    <row r="373" spans="2:16" x14ac:dyDescent="0.2">
      <c r="B373" s="60" t="s">
        <v>1133</v>
      </c>
      <c r="C373" s="54" t="s">
        <v>491</v>
      </c>
      <c r="D373" s="55"/>
      <c r="E373" s="52">
        <v>44260</v>
      </c>
      <c r="F373" s="60">
        <v>110</v>
      </c>
      <c r="G373" s="60">
        <v>35</v>
      </c>
      <c r="H373" s="60">
        <v>55</v>
      </c>
      <c r="I373" s="60">
        <v>3.8</v>
      </c>
      <c r="J373" s="60">
        <v>3</v>
      </c>
      <c r="K373" s="60">
        <v>3.2</v>
      </c>
      <c r="L373" s="63"/>
      <c r="O373" s="55"/>
      <c r="P373" s="52"/>
    </row>
    <row r="374" spans="2:16" x14ac:dyDescent="0.2">
      <c r="B374" s="60" t="s">
        <v>670</v>
      </c>
      <c r="C374" s="54" t="s">
        <v>491</v>
      </c>
      <c r="D374" s="55"/>
      <c r="E374" s="52">
        <v>45418</v>
      </c>
      <c r="F374" s="60">
        <v>110</v>
      </c>
      <c r="G374" s="60">
        <v>35</v>
      </c>
      <c r="H374" s="60">
        <v>55</v>
      </c>
      <c r="I374" s="60">
        <v>3.8</v>
      </c>
      <c r="J374" s="60">
        <v>3</v>
      </c>
      <c r="K374" s="60">
        <v>3.2</v>
      </c>
      <c r="L374" s="63"/>
      <c r="O374" s="55"/>
      <c r="P374" s="52"/>
    </row>
    <row r="375" spans="2:16" x14ac:dyDescent="0.2">
      <c r="B375" s="60" t="s">
        <v>669</v>
      </c>
      <c r="C375" s="54" t="s">
        <v>491</v>
      </c>
      <c r="D375" s="55"/>
      <c r="E375" s="52">
        <v>47378</v>
      </c>
      <c r="F375" s="60">
        <v>110</v>
      </c>
      <c r="G375" s="60">
        <v>35</v>
      </c>
      <c r="H375" s="60">
        <v>55</v>
      </c>
      <c r="I375" s="60">
        <v>3.8</v>
      </c>
      <c r="J375" s="60">
        <v>3</v>
      </c>
      <c r="K375" s="60">
        <v>3.2</v>
      </c>
      <c r="L375" s="63"/>
      <c r="O375" s="55"/>
      <c r="P375" s="52"/>
    </row>
    <row r="376" spans="2:16" x14ac:dyDescent="0.2">
      <c r="B376" s="60" t="s">
        <v>673</v>
      </c>
      <c r="C376" s="54" t="s">
        <v>491</v>
      </c>
      <c r="D376" s="55"/>
      <c r="E376" s="52">
        <v>60360</v>
      </c>
      <c r="F376" s="60">
        <v>110</v>
      </c>
      <c r="G376" s="60">
        <v>35</v>
      </c>
      <c r="H376" s="60">
        <v>55</v>
      </c>
      <c r="I376" s="60">
        <v>3.8</v>
      </c>
      <c r="J376" s="60">
        <v>3</v>
      </c>
      <c r="K376" s="60">
        <v>3.2</v>
      </c>
      <c r="L376" s="63"/>
      <c r="O376" s="55"/>
      <c r="P376" s="52"/>
    </row>
    <row r="377" spans="2:16" x14ac:dyDescent="0.2">
      <c r="B377" s="60" t="s">
        <v>674</v>
      </c>
      <c r="C377" s="54" t="s">
        <v>491</v>
      </c>
      <c r="D377" s="55"/>
      <c r="E377" s="52">
        <v>70394</v>
      </c>
      <c r="F377" s="60">
        <v>110</v>
      </c>
      <c r="G377" s="60">
        <v>35</v>
      </c>
      <c r="H377" s="60">
        <v>55</v>
      </c>
      <c r="I377" s="60">
        <v>3.8</v>
      </c>
      <c r="J377" s="60">
        <v>3</v>
      </c>
      <c r="K377" s="60">
        <v>3.2</v>
      </c>
      <c r="L377" s="63"/>
      <c r="O377" s="55"/>
      <c r="P377" s="52"/>
    </row>
    <row r="378" spans="2:16" x14ac:dyDescent="0.2">
      <c r="B378" s="60" t="s">
        <v>1134</v>
      </c>
      <c r="C378" s="54" t="s">
        <v>491</v>
      </c>
      <c r="D378" s="55"/>
      <c r="E378" s="52">
        <v>77082</v>
      </c>
      <c r="F378" s="60">
        <v>110</v>
      </c>
      <c r="G378" s="60">
        <v>35</v>
      </c>
      <c r="H378" s="60">
        <v>55</v>
      </c>
      <c r="I378" s="60">
        <v>3.8</v>
      </c>
      <c r="J378" s="60">
        <v>3</v>
      </c>
      <c r="K378" s="60">
        <v>3.2</v>
      </c>
      <c r="L378" s="63"/>
      <c r="O378" s="55"/>
      <c r="P378" s="52"/>
    </row>
    <row r="379" spans="2:16" x14ac:dyDescent="0.2">
      <c r="B379" s="60" t="s">
        <v>675</v>
      </c>
      <c r="C379" s="54" t="s">
        <v>491</v>
      </c>
      <c r="D379" s="55"/>
      <c r="E379" s="52">
        <v>97592</v>
      </c>
      <c r="F379" s="60">
        <v>110</v>
      </c>
      <c r="G379" s="60">
        <v>35</v>
      </c>
      <c r="H379" s="60">
        <v>55</v>
      </c>
      <c r="I379" s="60">
        <v>3.8</v>
      </c>
      <c r="J379" s="60">
        <v>3</v>
      </c>
      <c r="K379" s="60">
        <v>3.2</v>
      </c>
      <c r="L379" s="63"/>
      <c r="O379" s="55"/>
      <c r="P379" s="52"/>
    </row>
    <row r="380" spans="2:16" x14ac:dyDescent="0.2">
      <c r="B380" s="60" t="s">
        <v>676</v>
      </c>
      <c r="C380" s="54" t="s">
        <v>491</v>
      </c>
      <c r="D380" s="55"/>
      <c r="E380" s="52">
        <v>111617</v>
      </c>
      <c r="F380" s="60">
        <v>110</v>
      </c>
      <c r="G380" s="60">
        <v>35</v>
      </c>
      <c r="H380" s="60">
        <v>55</v>
      </c>
      <c r="I380" s="60">
        <v>3.8</v>
      </c>
      <c r="J380" s="60">
        <v>3</v>
      </c>
      <c r="K380" s="60">
        <v>3.2</v>
      </c>
      <c r="L380" s="63"/>
      <c r="O380" s="55"/>
      <c r="P380" s="52"/>
    </row>
    <row r="381" spans="2:16" x14ac:dyDescent="0.2">
      <c r="B381" s="60" t="s">
        <v>677</v>
      </c>
      <c r="C381" s="54" t="s">
        <v>491</v>
      </c>
      <c r="D381" s="55"/>
      <c r="E381" s="52">
        <v>106412</v>
      </c>
      <c r="F381" s="60">
        <v>220</v>
      </c>
      <c r="G381" s="60">
        <v>35</v>
      </c>
      <c r="H381" s="60">
        <v>55</v>
      </c>
      <c r="I381" s="60">
        <v>3.8</v>
      </c>
      <c r="J381" s="60">
        <v>3</v>
      </c>
      <c r="K381" s="60">
        <v>3.2</v>
      </c>
      <c r="L381" s="63"/>
      <c r="O381" s="55"/>
      <c r="P381" s="52"/>
    </row>
    <row r="382" spans="2:16" x14ac:dyDescent="0.2">
      <c r="B382" s="60" t="s">
        <v>678</v>
      </c>
      <c r="C382" s="54" t="s">
        <v>491</v>
      </c>
      <c r="D382" s="55"/>
      <c r="E382" s="52">
        <v>101866</v>
      </c>
      <c r="F382" s="60">
        <v>220</v>
      </c>
      <c r="G382" s="60">
        <v>35</v>
      </c>
      <c r="H382" s="60">
        <v>55</v>
      </c>
      <c r="I382" s="60">
        <v>3.8</v>
      </c>
      <c r="J382" s="60">
        <v>3</v>
      </c>
      <c r="K382" s="60">
        <v>3.2</v>
      </c>
      <c r="L382" s="63"/>
      <c r="O382" s="55"/>
      <c r="P382" s="52"/>
    </row>
    <row r="383" spans="2:16" x14ac:dyDescent="0.2">
      <c r="B383" s="60" t="s">
        <v>679</v>
      </c>
      <c r="C383" s="54" t="s">
        <v>491</v>
      </c>
      <c r="D383" s="55"/>
      <c r="E383" s="52">
        <v>119241</v>
      </c>
      <c r="F383" s="60">
        <v>220</v>
      </c>
      <c r="G383" s="60">
        <v>35</v>
      </c>
      <c r="H383" s="60">
        <v>55</v>
      </c>
      <c r="I383" s="60">
        <v>3.8</v>
      </c>
      <c r="J383" s="60">
        <v>3</v>
      </c>
      <c r="K383" s="60">
        <v>3.2</v>
      </c>
      <c r="L383" s="63"/>
      <c r="O383" s="55"/>
      <c r="P383" s="52"/>
    </row>
    <row r="384" spans="2:16" x14ac:dyDescent="0.2">
      <c r="B384" s="60" t="s">
        <v>680</v>
      </c>
      <c r="C384" s="54" t="s">
        <v>491</v>
      </c>
      <c r="D384" s="55"/>
      <c r="E384" s="52">
        <v>131598</v>
      </c>
      <c r="F384" s="60">
        <v>220</v>
      </c>
      <c r="G384" s="60">
        <v>35</v>
      </c>
      <c r="H384" s="60">
        <v>55</v>
      </c>
      <c r="I384" s="60">
        <v>3.8</v>
      </c>
      <c r="J384" s="60">
        <v>3</v>
      </c>
      <c r="K384" s="60">
        <v>3.2</v>
      </c>
      <c r="L384" s="63"/>
      <c r="O384" s="55"/>
      <c r="P384" s="52"/>
    </row>
    <row r="385" spans="2:16" x14ac:dyDescent="0.2">
      <c r="B385" s="60" t="s">
        <v>681</v>
      </c>
      <c r="C385" s="54" t="s">
        <v>491</v>
      </c>
      <c r="D385" s="55"/>
      <c r="E385" s="52">
        <v>345560</v>
      </c>
      <c r="F385" s="60">
        <v>220</v>
      </c>
      <c r="G385" s="60">
        <v>35</v>
      </c>
      <c r="H385" s="60">
        <v>55</v>
      </c>
      <c r="I385" s="60">
        <v>3.8</v>
      </c>
      <c r="J385" s="60">
        <v>3</v>
      </c>
      <c r="K385" s="60">
        <v>3.2</v>
      </c>
      <c r="L385" s="63"/>
      <c r="O385" s="55"/>
      <c r="P385" s="52"/>
    </row>
    <row r="386" spans="2:16" x14ac:dyDescent="0.2">
      <c r="D386" s="55"/>
      <c r="L386" s="63"/>
      <c r="O386" s="55"/>
      <c r="P386" s="52"/>
    </row>
    <row r="387" spans="2:16" x14ac:dyDescent="0.2">
      <c r="B387" s="47" t="s">
        <v>1185</v>
      </c>
      <c r="C387" s="54" t="s">
        <v>331</v>
      </c>
      <c r="D387" s="55" t="s">
        <v>476</v>
      </c>
      <c r="E387" s="52" t="s">
        <v>333</v>
      </c>
      <c r="F387" s="60" t="s">
        <v>319</v>
      </c>
      <c r="G387" s="60" t="s">
        <v>184</v>
      </c>
      <c r="H387" s="60" t="s">
        <v>4</v>
      </c>
      <c r="I387" s="60" t="s">
        <v>259</v>
      </c>
      <c r="J387" s="60" t="s">
        <v>311</v>
      </c>
      <c r="K387" s="60" t="s">
        <v>474</v>
      </c>
      <c r="L387" s="63"/>
    </row>
    <row r="388" spans="2:16" x14ac:dyDescent="0.2">
      <c r="B388" s="52" t="s">
        <v>1148</v>
      </c>
      <c r="C388" s="54" t="s">
        <v>491</v>
      </c>
      <c r="D388" s="55"/>
      <c r="E388" s="52">
        <v>15250</v>
      </c>
      <c r="F388" s="60">
        <v>35</v>
      </c>
      <c r="G388" s="60">
        <v>19</v>
      </c>
      <c r="H388" s="60">
        <v>60</v>
      </c>
      <c r="I388" s="60">
        <v>4</v>
      </c>
      <c r="J388" s="60">
        <v>8</v>
      </c>
      <c r="K388" s="60">
        <v>9</v>
      </c>
      <c r="L388" s="63"/>
    </row>
    <row r="389" spans="2:16" x14ac:dyDescent="0.2">
      <c r="B389" s="60" t="s">
        <v>1130</v>
      </c>
      <c r="C389" s="54" t="s">
        <v>491</v>
      </c>
      <c r="D389" s="55"/>
      <c r="E389" s="52">
        <v>15680</v>
      </c>
      <c r="F389" s="60">
        <v>35</v>
      </c>
      <c r="G389" s="60">
        <v>19</v>
      </c>
      <c r="H389" s="60">
        <v>60</v>
      </c>
      <c r="I389" s="60">
        <v>4</v>
      </c>
      <c r="J389" s="60">
        <v>8</v>
      </c>
      <c r="K389" s="60">
        <v>9</v>
      </c>
      <c r="L389" s="63"/>
    </row>
    <row r="390" spans="2:16" x14ac:dyDescent="0.2">
      <c r="B390" s="60" t="s">
        <v>1131</v>
      </c>
      <c r="C390" s="54" t="s">
        <v>491</v>
      </c>
      <c r="D390" s="55"/>
      <c r="E390" s="52">
        <v>19612</v>
      </c>
      <c r="F390" s="60">
        <v>35</v>
      </c>
      <c r="G390" s="60">
        <v>19</v>
      </c>
      <c r="H390" s="60">
        <v>60</v>
      </c>
      <c r="I390" s="60">
        <v>4</v>
      </c>
      <c r="J390" s="60">
        <v>8</v>
      </c>
      <c r="K390" s="60">
        <v>9</v>
      </c>
      <c r="L390" s="63"/>
    </row>
    <row r="391" spans="2:16" x14ac:dyDescent="0.2">
      <c r="B391" s="60" t="s">
        <v>672</v>
      </c>
      <c r="C391" s="54" t="s">
        <v>491</v>
      </c>
      <c r="D391" s="55"/>
      <c r="E391" s="52">
        <v>48254</v>
      </c>
      <c r="F391" s="60">
        <v>110</v>
      </c>
      <c r="G391" s="60">
        <v>19</v>
      </c>
      <c r="H391" s="60">
        <v>60</v>
      </c>
      <c r="I391" s="60">
        <v>4</v>
      </c>
      <c r="J391" s="60">
        <v>8</v>
      </c>
      <c r="K391" s="60">
        <v>9</v>
      </c>
      <c r="L391" s="63"/>
    </row>
    <row r="392" spans="2:16" x14ac:dyDescent="0.2">
      <c r="B392" s="60" t="s">
        <v>671</v>
      </c>
      <c r="C392" s="54" t="s">
        <v>491</v>
      </c>
      <c r="D392" s="55"/>
      <c r="E392" s="52">
        <v>57883</v>
      </c>
      <c r="F392" s="60">
        <v>110</v>
      </c>
      <c r="G392" s="60">
        <v>19</v>
      </c>
      <c r="H392" s="60">
        <v>60</v>
      </c>
      <c r="I392" s="60">
        <v>4</v>
      </c>
      <c r="J392" s="60">
        <v>8</v>
      </c>
      <c r="K392" s="60">
        <v>9</v>
      </c>
      <c r="L392" s="63"/>
    </row>
    <row r="393" spans="2:16" x14ac:dyDescent="0.2">
      <c r="B393" s="60" t="s">
        <v>1132</v>
      </c>
      <c r="C393" s="54" t="s">
        <v>491</v>
      </c>
      <c r="D393" s="55"/>
      <c r="E393" s="52">
        <v>42884</v>
      </c>
      <c r="F393" s="60">
        <v>110</v>
      </c>
      <c r="G393" s="60">
        <v>19</v>
      </c>
      <c r="H393" s="60">
        <v>60</v>
      </c>
      <c r="I393" s="60">
        <v>4</v>
      </c>
      <c r="J393" s="60">
        <v>8</v>
      </c>
      <c r="K393" s="60">
        <v>9</v>
      </c>
      <c r="L393" s="63"/>
    </row>
    <row r="394" spans="2:16" x14ac:dyDescent="0.2">
      <c r="B394" s="60" t="s">
        <v>1133</v>
      </c>
      <c r="C394" s="54" t="s">
        <v>491</v>
      </c>
      <c r="D394" s="55"/>
      <c r="E394" s="52">
        <v>44260</v>
      </c>
      <c r="F394" s="60">
        <v>110</v>
      </c>
      <c r="G394" s="60">
        <v>19</v>
      </c>
      <c r="H394" s="60">
        <v>60</v>
      </c>
      <c r="I394" s="60">
        <v>4</v>
      </c>
      <c r="J394" s="60">
        <v>8</v>
      </c>
      <c r="K394" s="60">
        <v>9</v>
      </c>
      <c r="L394" s="63"/>
    </row>
    <row r="395" spans="2:16" x14ac:dyDescent="0.2">
      <c r="B395" s="60" t="s">
        <v>670</v>
      </c>
      <c r="C395" s="54" t="s">
        <v>491</v>
      </c>
      <c r="D395" s="55"/>
      <c r="E395" s="52">
        <v>45418</v>
      </c>
      <c r="F395" s="60">
        <v>110</v>
      </c>
      <c r="G395" s="60">
        <v>19</v>
      </c>
      <c r="H395" s="60">
        <v>60</v>
      </c>
      <c r="I395" s="60">
        <v>4</v>
      </c>
      <c r="J395" s="60">
        <v>8</v>
      </c>
      <c r="K395" s="60">
        <v>9</v>
      </c>
      <c r="L395" s="63"/>
    </row>
    <row r="396" spans="2:16" x14ac:dyDescent="0.2">
      <c r="B396" s="60" t="s">
        <v>669</v>
      </c>
      <c r="C396" s="54" t="s">
        <v>491</v>
      </c>
      <c r="D396" s="55"/>
      <c r="E396" s="52">
        <v>47378</v>
      </c>
      <c r="F396" s="60">
        <v>110</v>
      </c>
      <c r="G396" s="60">
        <v>19</v>
      </c>
      <c r="H396" s="60">
        <v>60</v>
      </c>
      <c r="I396" s="60">
        <v>4</v>
      </c>
      <c r="J396" s="60">
        <v>8</v>
      </c>
      <c r="K396" s="60">
        <v>9</v>
      </c>
      <c r="L396" s="63"/>
    </row>
    <row r="397" spans="2:16" x14ac:dyDescent="0.2">
      <c r="B397" s="60" t="s">
        <v>673</v>
      </c>
      <c r="C397" s="54" t="s">
        <v>491</v>
      </c>
      <c r="D397" s="55"/>
      <c r="E397" s="52">
        <v>60360</v>
      </c>
      <c r="F397" s="60">
        <v>110</v>
      </c>
      <c r="G397" s="60">
        <v>19</v>
      </c>
      <c r="H397" s="60">
        <v>60</v>
      </c>
      <c r="I397" s="60">
        <v>4</v>
      </c>
      <c r="J397" s="60">
        <v>8</v>
      </c>
      <c r="K397" s="60">
        <v>9</v>
      </c>
      <c r="L397" s="63"/>
    </row>
    <row r="398" spans="2:16" x14ac:dyDescent="0.2">
      <c r="B398" s="60" t="s">
        <v>674</v>
      </c>
      <c r="C398" s="54" t="s">
        <v>491</v>
      </c>
      <c r="D398" s="55"/>
      <c r="E398" s="52">
        <v>70394</v>
      </c>
      <c r="F398" s="60">
        <v>110</v>
      </c>
      <c r="G398" s="60">
        <v>19</v>
      </c>
      <c r="H398" s="60">
        <v>60</v>
      </c>
      <c r="I398" s="60">
        <v>4</v>
      </c>
      <c r="J398" s="60">
        <v>8</v>
      </c>
      <c r="K398" s="60">
        <v>9</v>
      </c>
      <c r="L398" s="63"/>
    </row>
    <row r="399" spans="2:16" x14ac:dyDescent="0.2">
      <c r="B399" s="60" t="s">
        <v>1134</v>
      </c>
      <c r="C399" s="54" t="s">
        <v>491</v>
      </c>
      <c r="D399" s="55"/>
      <c r="E399" s="52">
        <v>77082</v>
      </c>
      <c r="F399" s="60">
        <v>110</v>
      </c>
      <c r="G399" s="60">
        <v>19</v>
      </c>
      <c r="H399" s="60">
        <v>60</v>
      </c>
      <c r="I399" s="60">
        <v>4</v>
      </c>
      <c r="J399" s="60">
        <v>8</v>
      </c>
      <c r="K399" s="60">
        <v>9</v>
      </c>
      <c r="L399" s="63"/>
    </row>
    <row r="400" spans="2:16" x14ac:dyDescent="0.2">
      <c r="B400" s="60" t="s">
        <v>675</v>
      </c>
      <c r="C400" s="54" t="s">
        <v>491</v>
      </c>
      <c r="D400" s="55"/>
      <c r="E400" s="52">
        <v>97592</v>
      </c>
      <c r="F400" s="60">
        <v>110</v>
      </c>
      <c r="G400" s="60">
        <v>19</v>
      </c>
      <c r="H400" s="60">
        <v>60</v>
      </c>
      <c r="I400" s="60">
        <v>4</v>
      </c>
      <c r="J400" s="60">
        <v>8</v>
      </c>
      <c r="K400" s="60">
        <v>9</v>
      </c>
      <c r="L400" s="63"/>
    </row>
    <row r="401" spans="1:16" x14ac:dyDescent="0.2">
      <c r="B401" s="60" t="s">
        <v>676</v>
      </c>
      <c r="C401" s="54" t="s">
        <v>491</v>
      </c>
      <c r="D401" s="55"/>
      <c r="E401" s="52">
        <v>111617</v>
      </c>
      <c r="F401" s="60">
        <v>110</v>
      </c>
      <c r="G401" s="60">
        <v>19</v>
      </c>
      <c r="H401" s="60">
        <v>60</v>
      </c>
      <c r="I401" s="60">
        <v>4</v>
      </c>
      <c r="J401" s="60">
        <v>8</v>
      </c>
      <c r="K401" s="60">
        <v>9</v>
      </c>
      <c r="L401" s="63"/>
    </row>
    <row r="402" spans="1:16" x14ac:dyDescent="0.2">
      <c r="B402" s="60" t="s">
        <v>677</v>
      </c>
      <c r="C402" s="54" t="s">
        <v>491</v>
      </c>
      <c r="D402" s="55"/>
      <c r="E402" s="52">
        <v>106412</v>
      </c>
      <c r="F402" s="60">
        <v>220</v>
      </c>
      <c r="G402" s="60">
        <v>19</v>
      </c>
      <c r="H402" s="60">
        <v>60</v>
      </c>
      <c r="I402" s="60">
        <v>4</v>
      </c>
      <c r="J402" s="60">
        <v>8</v>
      </c>
      <c r="K402" s="60">
        <v>9</v>
      </c>
      <c r="L402" s="63"/>
    </row>
    <row r="403" spans="1:16" x14ac:dyDescent="0.2">
      <c r="B403" s="60" t="s">
        <v>678</v>
      </c>
      <c r="C403" s="54" t="s">
        <v>491</v>
      </c>
      <c r="D403" s="55"/>
      <c r="E403" s="52">
        <v>101866</v>
      </c>
      <c r="F403" s="60">
        <v>220</v>
      </c>
      <c r="G403" s="60">
        <v>19</v>
      </c>
      <c r="H403" s="60">
        <v>60</v>
      </c>
      <c r="I403" s="60">
        <v>4</v>
      </c>
      <c r="J403" s="60">
        <v>8</v>
      </c>
      <c r="K403" s="60">
        <v>9</v>
      </c>
      <c r="L403" s="63"/>
    </row>
    <row r="404" spans="1:16" x14ac:dyDescent="0.2">
      <c r="B404" s="60" t="s">
        <v>679</v>
      </c>
      <c r="C404" s="54" t="s">
        <v>491</v>
      </c>
      <c r="D404" s="55"/>
      <c r="E404" s="52">
        <v>119241</v>
      </c>
      <c r="F404" s="60">
        <v>220</v>
      </c>
      <c r="G404" s="60">
        <v>19</v>
      </c>
      <c r="H404" s="60">
        <v>60</v>
      </c>
      <c r="I404" s="60">
        <v>4</v>
      </c>
      <c r="J404" s="60">
        <v>8</v>
      </c>
      <c r="K404" s="60">
        <v>9</v>
      </c>
      <c r="L404" s="63"/>
    </row>
    <row r="405" spans="1:16" x14ac:dyDescent="0.2">
      <c r="B405" s="60" t="s">
        <v>680</v>
      </c>
      <c r="C405" s="54" t="s">
        <v>491</v>
      </c>
      <c r="D405" s="55"/>
      <c r="E405" s="52">
        <v>131598</v>
      </c>
      <c r="F405" s="60">
        <v>220</v>
      </c>
      <c r="G405" s="60">
        <v>19</v>
      </c>
      <c r="H405" s="60">
        <v>60</v>
      </c>
      <c r="I405" s="60">
        <v>4</v>
      </c>
      <c r="J405" s="60">
        <v>8</v>
      </c>
      <c r="K405" s="60">
        <v>9</v>
      </c>
      <c r="L405" s="63"/>
    </row>
    <row r="406" spans="1:16" x14ac:dyDescent="0.2">
      <c r="B406" s="60" t="s">
        <v>681</v>
      </c>
      <c r="C406" s="54" t="s">
        <v>491</v>
      </c>
      <c r="D406" s="55"/>
      <c r="E406" s="52">
        <v>345560</v>
      </c>
      <c r="F406" s="60">
        <v>220</v>
      </c>
      <c r="G406" s="60">
        <v>19</v>
      </c>
      <c r="H406" s="60">
        <v>60</v>
      </c>
      <c r="I406" s="60">
        <v>4</v>
      </c>
      <c r="J406" s="60">
        <v>8</v>
      </c>
      <c r="K406" s="60">
        <v>9</v>
      </c>
      <c r="L406" s="63"/>
    </row>
    <row r="407" spans="1:16" x14ac:dyDescent="0.2">
      <c r="D407" s="55"/>
      <c r="L407" s="63"/>
    </row>
    <row r="408" spans="1:16" x14ac:dyDescent="0.2">
      <c r="A408" s="60">
        <v>16</v>
      </c>
      <c r="B408" s="47" t="s">
        <v>683</v>
      </c>
      <c r="D408" s="55"/>
      <c r="L408" s="63"/>
    </row>
    <row r="409" spans="1:16" x14ac:dyDescent="0.2">
      <c r="B409" s="60" t="s">
        <v>938</v>
      </c>
      <c r="C409" s="54" t="s">
        <v>492</v>
      </c>
      <c r="D409" s="55"/>
      <c r="E409" s="52">
        <v>20402</v>
      </c>
      <c r="F409" s="60">
        <v>35</v>
      </c>
      <c r="G409" s="59">
        <v>38.6</v>
      </c>
      <c r="H409" s="59">
        <v>51.5</v>
      </c>
      <c r="I409" s="60">
        <v>3.7</v>
      </c>
      <c r="J409" s="60">
        <v>3</v>
      </c>
      <c r="K409" s="60">
        <v>3.2</v>
      </c>
      <c r="L409" s="63"/>
      <c r="M409" s="47"/>
      <c r="O409" s="55"/>
      <c r="P409" s="52"/>
    </row>
    <row r="410" spans="1:16" x14ac:dyDescent="0.2">
      <c r="B410" s="60" t="s">
        <v>939</v>
      </c>
      <c r="C410" s="54" t="s">
        <v>492</v>
      </c>
      <c r="D410" s="55"/>
      <c r="E410" s="52">
        <v>29372</v>
      </c>
      <c r="F410" s="60">
        <v>35</v>
      </c>
      <c r="G410" s="59">
        <v>38.6</v>
      </c>
      <c r="H410" s="59">
        <v>51.5</v>
      </c>
      <c r="I410" s="60">
        <v>3.7</v>
      </c>
      <c r="J410" s="60">
        <v>3</v>
      </c>
      <c r="K410" s="60">
        <v>3.2</v>
      </c>
      <c r="L410" s="63"/>
      <c r="O410" s="55"/>
      <c r="P410" s="52"/>
    </row>
    <row r="411" spans="1:16" x14ac:dyDescent="0.2">
      <c r="B411" s="60" t="s">
        <v>940</v>
      </c>
      <c r="C411" s="54" t="s">
        <v>492</v>
      </c>
      <c r="D411" s="55"/>
      <c r="E411" s="52">
        <v>47918</v>
      </c>
      <c r="F411" s="60">
        <v>110</v>
      </c>
      <c r="G411" s="59">
        <v>38.6</v>
      </c>
      <c r="H411" s="59">
        <v>51.5</v>
      </c>
      <c r="I411" s="60">
        <v>3.7</v>
      </c>
      <c r="J411" s="60">
        <v>3</v>
      </c>
      <c r="K411" s="60">
        <v>3.2</v>
      </c>
      <c r="L411" s="63"/>
      <c r="O411" s="55"/>
      <c r="P411" s="52"/>
    </row>
    <row r="412" spans="1:16" x14ac:dyDescent="0.2">
      <c r="B412" s="60" t="s">
        <v>941</v>
      </c>
      <c r="C412" s="54" t="s">
        <v>492</v>
      </c>
      <c r="D412" s="55"/>
      <c r="E412" s="52">
        <v>68234</v>
      </c>
      <c r="F412" s="60">
        <v>110</v>
      </c>
      <c r="G412" s="59">
        <v>38.6</v>
      </c>
      <c r="H412" s="59">
        <v>51.5</v>
      </c>
      <c r="I412" s="60">
        <v>3.7</v>
      </c>
      <c r="J412" s="60">
        <v>3</v>
      </c>
      <c r="K412" s="60">
        <v>3.2</v>
      </c>
      <c r="L412" s="63"/>
      <c r="O412" s="55"/>
      <c r="P412" s="52"/>
    </row>
    <row r="413" spans="1:16" x14ac:dyDescent="0.2">
      <c r="B413" s="60" t="s">
        <v>1149</v>
      </c>
      <c r="C413" s="54" t="s">
        <v>492</v>
      </c>
      <c r="D413" s="55"/>
      <c r="E413" s="52">
        <v>72242</v>
      </c>
      <c r="F413" s="60">
        <v>110</v>
      </c>
      <c r="G413" s="59">
        <v>38.6</v>
      </c>
      <c r="H413" s="59">
        <v>51.5</v>
      </c>
      <c r="I413" s="60">
        <v>3.7</v>
      </c>
      <c r="J413" s="60">
        <v>3</v>
      </c>
      <c r="K413" s="60">
        <v>3.2</v>
      </c>
      <c r="L413" s="63"/>
      <c r="O413" s="55"/>
      <c r="P413" s="52"/>
    </row>
    <row r="414" spans="1:16" x14ac:dyDescent="0.2">
      <c r="B414" s="60" t="s">
        <v>684</v>
      </c>
      <c r="C414" s="54" t="s">
        <v>492</v>
      </c>
      <c r="D414" s="55"/>
      <c r="E414" s="52">
        <v>111908</v>
      </c>
      <c r="F414" s="60">
        <v>110</v>
      </c>
      <c r="G414" s="59">
        <v>38.6</v>
      </c>
      <c r="H414" s="59">
        <v>51.5</v>
      </c>
      <c r="I414" s="60">
        <v>3.7</v>
      </c>
      <c r="J414" s="60">
        <v>3</v>
      </c>
      <c r="K414" s="60">
        <v>3.2</v>
      </c>
      <c r="L414" s="63"/>
      <c r="O414" s="55"/>
      <c r="P414" s="52"/>
    </row>
    <row r="415" spans="1:16" x14ac:dyDescent="0.2">
      <c r="B415" s="60" t="s">
        <v>942</v>
      </c>
      <c r="C415" s="54" t="s">
        <v>492</v>
      </c>
      <c r="D415" s="55"/>
      <c r="E415" s="52">
        <v>91264</v>
      </c>
      <c r="F415" s="60">
        <v>110</v>
      </c>
      <c r="G415" s="59">
        <v>38.6</v>
      </c>
      <c r="H415" s="59">
        <v>51.5</v>
      </c>
      <c r="I415" s="60">
        <v>3.7</v>
      </c>
      <c r="J415" s="60">
        <v>3</v>
      </c>
      <c r="K415" s="60">
        <v>3.2</v>
      </c>
      <c r="L415" s="63"/>
      <c r="O415" s="55"/>
      <c r="P415" s="52"/>
    </row>
    <row r="416" spans="1:16" x14ac:dyDescent="0.2">
      <c r="B416" s="60" t="s">
        <v>943</v>
      </c>
      <c r="C416" s="54" t="s">
        <v>492</v>
      </c>
      <c r="D416" s="55"/>
      <c r="E416" s="52">
        <v>179893</v>
      </c>
      <c r="F416" s="60">
        <v>110</v>
      </c>
      <c r="G416" s="59">
        <v>38.6</v>
      </c>
      <c r="H416" s="59">
        <v>51.5</v>
      </c>
      <c r="I416" s="60">
        <v>3.7</v>
      </c>
      <c r="J416" s="60">
        <v>3</v>
      </c>
      <c r="K416" s="60">
        <v>3.2</v>
      </c>
      <c r="L416" s="63"/>
      <c r="O416" s="55"/>
      <c r="P416" s="52"/>
    </row>
    <row r="417" spans="1:16" x14ac:dyDescent="0.2">
      <c r="B417" s="60" t="s">
        <v>944</v>
      </c>
      <c r="C417" s="54" t="s">
        <v>492</v>
      </c>
      <c r="D417" s="55"/>
      <c r="E417" s="52">
        <v>441986</v>
      </c>
      <c r="F417" s="60">
        <v>220</v>
      </c>
      <c r="G417" s="59">
        <v>38.6</v>
      </c>
      <c r="H417" s="59">
        <v>51.5</v>
      </c>
      <c r="I417" s="60">
        <v>3.7</v>
      </c>
      <c r="J417" s="60">
        <v>3</v>
      </c>
      <c r="K417" s="60">
        <v>3.2</v>
      </c>
      <c r="L417" s="63"/>
      <c r="O417" s="55"/>
      <c r="P417" s="52"/>
    </row>
    <row r="418" spans="1:16" x14ac:dyDescent="0.2">
      <c r="B418" s="60" t="s">
        <v>945</v>
      </c>
      <c r="C418" s="54" t="s">
        <v>492</v>
      </c>
      <c r="D418" s="55"/>
      <c r="E418" s="52">
        <v>455021</v>
      </c>
      <c r="F418" s="60">
        <v>220</v>
      </c>
      <c r="G418" s="59">
        <v>38.6</v>
      </c>
      <c r="H418" s="59">
        <v>51.5</v>
      </c>
      <c r="I418" s="60">
        <v>3.7</v>
      </c>
      <c r="J418" s="60">
        <v>3</v>
      </c>
      <c r="K418" s="60">
        <v>3.2</v>
      </c>
      <c r="L418" s="63"/>
      <c r="O418" s="55"/>
      <c r="P418" s="52"/>
    </row>
    <row r="419" spans="1:16" x14ac:dyDescent="0.2">
      <c r="D419" s="55"/>
      <c r="L419" s="63"/>
      <c r="O419" s="55"/>
      <c r="P419" s="52"/>
    </row>
    <row r="420" spans="1:16" x14ac:dyDescent="0.2">
      <c r="B420" s="47" t="s">
        <v>1186</v>
      </c>
      <c r="D420" s="55"/>
      <c r="L420" s="63"/>
    </row>
    <row r="421" spans="1:16" x14ac:dyDescent="0.2">
      <c r="B421" s="60" t="s">
        <v>938</v>
      </c>
      <c r="C421" s="54" t="s">
        <v>492</v>
      </c>
      <c r="D421" s="55"/>
      <c r="E421" s="52">
        <v>20402</v>
      </c>
      <c r="F421" s="60">
        <v>35</v>
      </c>
      <c r="G421" s="60">
        <v>24</v>
      </c>
      <c r="H421" s="60">
        <v>55</v>
      </c>
      <c r="I421" s="60">
        <v>4</v>
      </c>
      <c r="J421" s="60">
        <v>8</v>
      </c>
      <c r="K421" s="60">
        <v>9</v>
      </c>
      <c r="L421" s="63"/>
    </row>
    <row r="422" spans="1:16" x14ac:dyDescent="0.2">
      <c r="B422" s="60" t="s">
        <v>939</v>
      </c>
      <c r="C422" s="54" t="s">
        <v>492</v>
      </c>
      <c r="D422" s="55"/>
      <c r="E422" s="52">
        <v>29372</v>
      </c>
      <c r="F422" s="60">
        <v>35</v>
      </c>
      <c r="G422" s="60">
        <v>24</v>
      </c>
      <c r="H422" s="60">
        <v>55</v>
      </c>
      <c r="I422" s="60">
        <v>4</v>
      </c>
      <c r="J422" s="60">
        <v>8</v>
      </c>
      <c r="K422" s="60">
        <v>9</v>
      </c>
      <c r="L422" s="63"/>
    </row>
    <row r="423" spans="1:16" x14ac:dyDescent="0.2">
      <c r="B423" s="60" t="s">
        <v>940</v>
      </c>
      <c r="C423" s="54" t="s">
        <v>492</v>
      </c>
      <c r="D423" s="55"/>
      <c r="E423" s="52">
        <v>47918</v>
      </c>
      <c r="F423" s="60">
        <v>110</v>
      </c>
      <c r="G423" s="60">
        <v>24</v>
      </c>
      <c r="H423" s="60">
        <v>55</v>
      </c>
      <c r="I423" s="60">
        <v>4</v>
      </c>
      <c r="J423" s="60">
        <v>8</v>
      </c>
      <c r="K423" s="60">
        <v>9</v>
      </c>
      <c r="L423" s="63"/>
    </row>
    <row r="424" spans="1:16" x14ac:dyDescent="0.2">
      <c r="B424" s="60" t="s">
        <v>941</v>
      </c>
      <c r="C424" s="54" t="s">
        <v>492</v>
      </c>
      <c r="D424" s="55"/>
      <c r="E424" s="52">
        <v>68234</v>
      </c>
      <c r="F424" s="60">
        <v>110</v>
      </c>
      <c r="G424" s="60">
        <v>24</v>
      </c>
      <c r="H424" s="60">
        <v>55</v>
      </c>
      <c r="I424" s="60">
        <v>4</v>
      </c>
      <c r="J424" s="60">
        <v>8</v>
      </c>
      <c r="K424" s="60">
        <v>9</v>
      </c>
      <c r="L424" s="63"/>
    </row>
    <row r="425" spans="1:16" x14ac:dyDescent="0.2">
      <c r="B425" s="60" t="s">
        <v>1149</v>
      </c>
      <c r="C425" s="54" t="s">
        <v>492</v>
      </c>
      <c r="D425" s="55"/>
      <c r="E425" s="52">
        <v>72242</v>
      </c>
      <c r="F425" s="60">
        <v>110</v>
      </c>
      <c r="G425" s="60">
        <v>24</v>
      </c>
      <c r="H425" s="60">
        <v>55</v>
      </c>
      <c r="I425" s="60">
        <v>4</v>
      </c>
      <c r="J425" s="60">
        <v>8</v>
      </c>
      <c r="K425" s="60">
        <v>9</v>
      </c>
      <c r="L425" s="63"/>
    </row>
    <row r="426" spans="1:16" x14ac:dyDescent="0.2">
      <c r="B426" s="60" t="s">
        <v>684</v>
      </c>
      <c r="C426" s="54" t="s">
        <v>492</v>
      </c>
      <c r="D426" s="55"/>
      <c r="E426" s="52">
        <v>111908</v>
      </c>
      <c r="F426" s="60">
        <v>110</v>
      </c>
      <c r="G426" s="60">
        <v>24</v>
      </c>
      <c r="H426" s="60">
        <v>55</v>
      </c>
      <c r="I426" s="60">
        <v>4</v>
      </c>
      <c r="J426" s="60">
        <v>8</v>
      </c>
      <c r="K426" s="60">
        <v>9</v>
      </c>
      <c r="L426" s="63"/>
    </row>
    <row r="427" spans="1:16" x14ac:dyDescent="0.2">
      <c r="B427" s="60" t="s">
        <v>942</v>
      </c>
      <c r="C427" s="54" t="s">
        <v>492</v>
      </c>
      <c r="D427" s="55"/>
      <c r="E427" s="52">
        <v>91264</v>
      </c>
      <c r="F427" s="60">
        <v>110</v>
      </c>
      <c r="G427" s="60">
        <v>24</v>
      </c>
      <c r="H427" s="60">
        <v>55</v>
      </c>
      <c r="I427" s="60">
        <v>4</v>
      </c>
      <c r="J427" s="60">
        <v>8</v>
      </c>
      <c r="K427" s="60">
        <v>9</v>
      </c>
      <c r="L427" s="63"/>
    </row>
    <row r="428" spans="1:16" x14ac:dyDescent="0.2">
      <c r="B428" s="60" t="s">
        <v>943</v>
      </c>
      <c r="C428" s="54" t="s">
        <v>492</v>
      </c>
      <c r="D428" s="55"/>
      <c r="E428" s="52">
        <v>179893</v>
      </c>
      <c r="F428" s="60">
        <v>110</v>
      </c>
      <c r="G428" s="60">
        <v>24</v>
      </c>
      <c r="H428" s="60">
        <v>55</v>
      </c>
      <c r="I428" s="60">
        <v>4</v>
      </c>
      <c r="J428" s="60">
        <v>8</v>
      </c>
      <c r="K428" s="60">
        <v>9</v>
      </c>
      <c r="L428" s="63"/>
    </row>
    <row r="429" spans="1:16" x14ac:dyDescent="0.2">
      <c r="B429" s="60" t="s">
        <v>944</v>
      </c>
      <c r="C429" s="54" t="s">
        <v>492</v>
      </c>
      <c r="D429" s="55"/>
      <c r="E429" s="52">
        <v>441986</v>
      </c>
      <c r="F429" s="60">
        <v>220</v>
      </c>
      <c r="G429" s="60">
        <v>24</v>
      </c>
      <c r="H429" s="60">
        <v>55</v>
      </c>
      <c r="I429" s="60">
        <v>4</v>
      </c>
      <c r="J429" s="60">
        <v>8</v>
      </c>
      <c r="K429" s="60">
        <v>9</v>
      </c>
      <c r="L429" s="63"/>
    </row>
    <row r="430" spans="1:16" x14ac:dyDescent="0.2">
      <c r="B430" s="60" t="s">
        <v>945</v>
      </c>
      <c r="C430" s="54" t="s">
        <v>492</v>
      </c>
      <c r="D430" s="55"/>
      <c r="E430" s="52">
        <v>455021</v>
      </c>
      <c r="F430" s="60">
        <v>220</v>
      </c>
      <c r="G430" s="60">
        <v>24</v>
      </c>
      <c r="H430" s="60">
        <v>55</v>
      </c>
      <c r="I430" s="60">
        <v>4</v>
      </c>
      <c r="J430" s="60">
        <v>8</v>
      </c>
      <c r="K430" s="60">
        <v>9</v>
      </c>
      <c r="L430" s="63"/>
    </row>
    <row r="431" spans="1:16" x14ac:dyDescent="0.2">
      <c r="D431" s="55"/>
      <c r="L431" s="63"/>
    </row>
    <row r="432" spans="1:16" x14ac:dyDescent="0.2">
      <c r="A432" s="60">
        <v>28</v>
      </c>
      <c r="B432" s="47" t="s">
        <v>807</v>
      </c>
      <c r="D432" s="55"/>
      <c r="L432" s="63"/>
    </row>
    <row r="433" spans="1:22" x14ac:dyDescent="0.2">
      <c r="B433" s="60" t="s">
        <v>810</v>
      </c>
      <c r="C433" s="54" t="s">
        <v>809</v>
      </c>
      <c r="D433" s="55"/>
      <c r="E433" s="52">
        <v>4018</v>
      </c>
      <c r="F433" s="60">
        <v>35</v>
      </c>
      <c r="G433" s="60">
        <v>33</v>
      </c>
      <c r="H433" s="60">
        <v>55</v>
      </c>
      <c r="I433" s="60">
        <v>3.8</v>
      </c>
      <c r="J433" s="60">
        <v>4</v>
      </c>
      <c r="K433" s="60">
        <v>4.2</v>
      </c>
      <c r="L433" s="63"/>
      <c r="M433" s="47" t="s">
        <v>807</v>
      </c>
      <c r="O433" s="55"/>
      <c r="P433" s="52"/>
    </row>
    <row r="434" spans="1:22" x14ac:dyDescent="0.2">
      <c r="B434" s="60" t="s">
        <v>818</v>
      </c>
      <c r="C434" s="54" t="s">
        <v>809</v>
      </c>
      <c r="D434" s="55"/>
      <c r="E434" s="52">
        <v>4710</v>
      </c>
      <c r="F434" s="60">
        <v>35</v>
      </c>
      <c r="G434" s="60">
        <v>33</v>
      </c>
      <c r="H434" s="60">
        <v>55</v>
      </c>
      <c r="I434" s="60">
        <v>3.8</v>
      </c>
      <c r="J434" s="60">
        <v>4</v>
      </c>
      <c r="K434" s="60">
        <v>4.2</v>
      </c>
      <c r="L434" s="63"/>
      <c r="M434" s="60" t="s">
        <v>810</v>
      </c>
      <c r="N434" s="54" t="s">
        <v>809</v>
      </c>
      <c r="O434" s="55"/>
      <c r="P434" s="52">
        <v>4018</v>
      </c>
      <c r="Q434" s="60">
        <v>35</v>
      </c>
      <c r="R434" s="60">
        <v>19</v>
      </c>
      <c r="S434" s="60">
        <v>60</v>
      </c>
      <c r="T434" s="60">
        <v>4</v>
      </c>
      <c r="U434" s="60">
        <v>8</v>
      </c>
      <c r="V434" s="60">
        <v>9</v>
      </c>
    </row>
    <row r="435" spans="1:22" x14ac:dyDescent="0.2">
      <c r="B435" s="60" t="s">
        <v>811</v>
      </c>
      <c r="C435" s="54" t="s">
        <v>809</v>
      </c>
      <c r="D435" s="55"/>
      <c r="E435" s="52">
        <v>14866</v>
      </c>
      <c r="F435" s="60">
        <v>110</v>
      </c>
      <c r="G435" s="60">
        <v>35</v>
      </c>
      <c r="H435" s="60">
        <v>55</v>
      </c>
      <c r="I435" s="60">
        <v>3.8</v>
      </c>
      <c r="J435" s="60">
        <v>3</v>
      </c>
      <c r="K435" s="60">
        <v>3.2</v>
      </c>
      <c r="L435" s="63"/>
      <c r="M435" s="60" t="s">
        <v>818</v>
      </c>
      <c r="N435" s="54" t="s">
        <v>809</v>
      </c>
      <c r="O435" s="55"/>
      <c r="P435" s="52">
        <v>4710</v>
      </c>
      <c r="Q435" s="60">
        <v>35</v>
      </c>
      <c r="R435" s="60">
        <v>19</v>
      </c>
      <c r="S435" s="60">
        <v>60</v>
      </c>
      <c r="T435" s="60">
        <v>4</v>
      </c>
      <c r="U435" s="60">
        <v>8</v>
      </c>
      <c r="V435" s="60">
        <v>9</v>
      </c>
    </row>
    <row r="436" spans="1:22" x14ac:dyDescent="0.2">
      <c r="B436" s="60" t="s">
        <v>812</v>
      </c>
      <c r="C436" s="54" t="s">
        <v>809</v>
      </c>
      <c r="D436" s="55"/>
      <c r="E436" s="52">
        <v>15625</v>
      </c>
      <c r="F436" s="60">
        <v>110</v>
      </c>
      <c r="G436" s="60">
        <v>35</v>
      </c>
      <c r="H436" s="60">
        <v>55</v>
      </c>
      <c r="I436" s="60">
        <v>3.8</v>
      </c>
      <c r="J436" s="60">
        <v>3</v>
      </c>
      <c r="K436" s="60">
        <v>3.2</v>
      </c>
      <c r="L436" s="63"/>
      <c r="M436" s="60" t="s">
        <v>811</v>
      </c>
      <c r="N436" s="54" t="s">
        <v>809</v>
      </c>
      <c r="O436" s="55"/>
      <c r="P436" s="52">
        <v>14866</v>
      </c>
      <c r="Q436" s="60">
        <v>110</v>
      </c>
      <c r="R436" s="60">
        <v>19</v>
      </c>
      <c r="S436" s="60">
        <v>60</v>
      </c>
      <c r="T436" s="60">
        <v>4</v>
      </c>
      <c r="U436" s="60">
        <v>8</v>
      </c>
      <c r="V436" s="60">
        <v>9</v>
      </c>
    </row>
    <row r="437" spans="1:22" x14ac:dyDescent="0.2">
      <c r="B437" s="60" t="s">
        <v>819</v>
      </c>
      <c r="C437" s="54" t="s">
        <v>809</v>
      </c>
      <c r="D437" s="55"/>
      <c r="E437" s="52">
        <v>16478</v>
      </c>
      <c r="F437" s="60">
        <v>110</v>
      </c>
      <c r="G437" s="60">
        <v>35</v>
      </c>
      <c r="H437" s="60">
        <v>55</v>
      </c>
      <c r="I437" s="60">
        <v>3.8</v>
      </c>
      <c r="J437" s="60">
        <v>3</v>
      </c>
      <c r="K437" s="60">
        <v>3.2</v>
      </c>
      <c r="L437" s="63"/>
      <c r="M437" s="60" t="s">
        <v>812</v>
      </c>
      <c r="N437" s="54" t="s">
        <v>809</v>
      </c>
      <c r="O437" s="55"/>
      <c r="P437" s="52">
        <v>15625</v>
      </c>
      <c r="Q437" s="60">
        <v>110</v>
      </c>
      <c r="R437" s="60">
        <v>19</v>
      </c>
      <c r="S437" s="60">
        <v>60</v>
      </c>
      <c r="T437" s="60">
        <v>4</v>
      </c>
      <c r="U437" s="60">
        <v>8</v>
      </c>
      <c r="V437" s="60">
        <v>9</v>
      </c>
    </row>
    <row r="438" spans="1:22" x14ac:dyDescent="0.2">
      <c r="B438" s="60" t="s">
        <v>813</v>
      </c>
      <c r="C438" s="54" t="s">
        <v>809</v>
      </c>
      <c r="D438" s="55"/>
      <c r="E438" s="52">
        <v>15625</v>
      </c>
      <c r="F438" s="60">
        <v>110</v>
      </c>
      <c r="G438" s="60">
        <v>35</v>
      </c>
      <c r="H438" s="60">
        <v>55</v>
      </c>
      <c r="I438" s="60">
        <v>3.8</v>
      </c>
      <c r="J438" s="60">
        <v>3</v>
      </c>
      <c r="K438" s="60">
        <v>3.2</v>
      </c>
      <c r="L438" s="63"/>
      <c r="M438" s="60" t="s">
        <v>819</v>
      </c>
      <c r="N438" s="54" t="s">
        <v>809</v>
      </c>
      <c r="O438" s="55"/>
      <c r="P438" s="52">
        <v>16478</v>
      </c>
      <c r="Q438" s="60">
        <v>110</v>
      </c>
      <c r="R438" s="60">
        <v>19</v>
      </c>
      <c r="S438" s="60">
        <v>60</v>
      </c>
      <c r="T438" s="60">
        <v>4</v>
      </c>
      <c r="U438" s="60">
        <v>8</v>
      </c>
      <c r="V438" s="60">
        <v>9</v>
      </c>
    </row>
    <row r="439" spans="1:22" x14ac:dyDescent="0.2">
      <c r="B439" s="60" t="s">
        <v>814</v>
      </c>
      <c r="C439" s="54" t="s">
        <v>809</v>
      </c>
      <c r="D439" s="55"/>
      <c r="E439" s="52">
        <v>20108</v>
      </c>
      <c r="F439" s="60">
        <v>220</v>
      </c>
      <c r="G439" s="60">
        <v>35</v>
      </c>
      <c r="H439" s="60">
        <v>55</v>
      </c>
      <c r="I439" s="60">
        <v>3.8</v>
      </c>
      <c r="J439" s="60">
        <v>3</v>
      </c>
      <c r="K439" s="60">
        <v>3.2</v>
      </c>
      <c r="L439" s="63"/>
      <c r="M439" s="60" t="s">
        <v>813</v>
      </c>
      <c r="N439" s="54" t="s">
        <v>809</v>
      </c>
      <c r="O439" s="55"/>
      <c r="P439" s="52">
        <v>15625</v>
      </c>
      <c r="Q439" s="60">
        <v>110</v>
      </c>
      <c r="R439" s="60">
        <v>19</v>
      </c>
      <c r="S439" s="60">
        <v>60</v>
      </c>
      <c r="T439" s="60">
        <v>4</v>
      </c>
      <c r="U439" s="60">
        <v>8</v>
      </c>
      <c r="V439" s="60">
        <v>9</v>
      </c>
    </row>
    <row r="440" spans="1:22" x14ac:dyDescent="0.2">
      <c r="B440" s="60" t="s">
        <v>815</v>
      </c>
      <c r="C440" s="54" t="s">
        <v>809</v>
      </c>
      <c r="D440" s="55"/>
      <c r="E440" s="52">
        <v>30560</v>
      </c>
      <c r="F440" s="60">
        <v>220</v>
      </c>
      <c r="G440" s="60">
        <v>35</v>
      </c>
      <c r="H440" s="60">
        <v>55</v>
      </c>
      <c r="I440" s="60">
        <v>3.8</v>
      </c>
      <c r="J440" s="60">
        <v>3</v>
      </c>
      <c r="K440" s="60">
        <v>3.2</v>
      </c>
      <c r="L440" s="63"/>
      <c r="M440" s="60" t="s">
        <v>814</v>
      </c>
      <c r="N440" s="54" t="s">
        <v>809</v>
      </c>
      <c r="O440" s="55"/>
      <c r="P440" s="52">
        <v>20108</v>
      </c>
      <c r="Q440" s="60">
        <v>220</v>
      </c>
      <c r="R440" s="60">
        <v>19</v>
      </c>
      <c r="S440" s="60">
        <v>60</v>
      </c>
      <c r="T440" s="60">
        <v>4</v>
      </c>
      <c r="U440" s="60">
        <v>8</v>
      </c>
      <c r="V440" s="60">
        <v>9</v>
      </c>
    </row>
    <row r="441" spans="1:22" x14ac:dyDescent="0.2">
      <c r="B441" s="60" t="s">
        <v>816</v>
      </c>
      <c r="C441" s="54" t="s">
        <v>809</v>
      </c>
      <c r="D441" s="55"/>
      <c r="E441" s="52">
        <v>39480</v>
      </c>
      <c r="F441" s="60">
        <v>220</v>
      </c>
      <c r="G441" s="60">
        <v>35</v>
      </c>
      <c r="H441" s="60">
        <v>55</v>
      </c>
      <c r="I441" s="60">
        <v>3.8</v>
      </c>
      <c r="J441" s="60">
        <v>3</v>
      </c>
      <c r="K441" s="60">
        <v>3.2</v>
      </c>
      <c r="L441" s="63"/>
      <c r="M441" s="60" t="s">
        <v>815</v>
      </c>
      <c r="N441" s="54" t="s">
        <v>809</v>
      </c>
      <c r="O441" s="55"/>
      <c r="P441" s="52">
        <v>30560</v>
      </c>
      <c r="Q441" s="60">
        <v>220</v>
      </c>
      <c r="R441" s="60">
        <v>19</v>
      </c>
      <c r="S441" s="60">
        <v>60</v>
      </c>
      <c r="T441" s="60">
        <v>4</v>
      </c>
      <c r="U441" s="60">
        <v>8</v>
      </c>
      <c r="V441" s="60">
        <v>9</v>
      </c>
    </row>
    <row r="442" spans="1:22" x14ac:dyDescent="0.2">
      <c r="B442" s="60" t="s">
        <v>817</v>
      </c>
      <c r="C442" s="54" t="s">
        <v>809</v>
      </c>
      <c r="D442" s="55"/>
      <c r="E442" s="52">
        <v>46541</v>
      </c>
      <c r="F442" s="60">
        <v>220</v>
      </c>
      <c r="G442" s="60">
        <v>35</v>
      </c>
      <c r="H442" s="60">
        <v>55</v>
      </c>
      <c r="I442" s="60">
        <v>3.8</v>
      </c>
      <c r="J442" s="60">
        <v>3</v>
      </c>
      <c r="K442" s="60">
        <v>3.2</v>
      </c>
      <c r="L442" s="63"/>
      <c r="M442" s="60" t="s">
        <v>816</v>
      </c>
      <c r="N442" s="54" t="s">
        <v>809</v>
      </c>
      <c r="O442" s="55"/>
      <c r="P442" s="52">
        <v>39480</v>
      </c>
      <c r="Q442" s="60">
        <v>220</v>
      </c>
      <c r="R442" s="60">
        <v>19</v>
      </c>
      <c r="S442" s="60">
        <v>60</v>
      </c>
      <c r="T442" s="60">
        <v>4</v>
      </c>
      <c r="U442" s="60">
        <v>8</v>
      </c>
      <c r="V442" s="60">
        <v>9</v>
      </c>
    </row>
    <row r="443" spans="1:22" x14ac:dyDescent="0.2">
      <c r="D443" s="55"/>
      <c r="L443" s="63"/>
      <c r="M443" s="60" t="s">
        <v>817</v>
      </c>
      <c r="N443" s="54" t="s">
        <v>809</v>
      </c>
      <c r="O443" s="55"/>
      <c r="P443" s="52">
        <v>46541</v>
      </c>
      <c r="Q443" s="60">
        <v>220</v>
      </c>
      <c r="R443" s="60">
        <v>19</v>
      </c>
      <c r="S443" s="60">
        <v>60</v>
      </c>
      <c r="T443" s="60">
        <v>4</v>
      </c>
      <c r="U443" s="60">
        <v>8</v>
      </c>
      <c r="V443" s="60">
        <v>9</v>
      </c>
    </row>
    <row r="444" spans="1:22" x14ac:dyDescent="0.2">
      <c r="A444" s="60">
        <v>28</v>
      </c>
      <c r="B444" s="47" t="s">
        <v>808</v>
      </c>
      <c r="D444" s="55"/>
      <c r="L444" s="63"/>
      <c r="O444" s="55"/>
      <c r="P444" s="52"/>
    </row>
    <row r="445" spans="1:22" x14ac:dyDescent="0.2">
      <c r="B445" s="60" t="s">
        <v>820</v>
      </c>
      <c r="C445" s="54" t="s">
        <v>809</v>
      </c>
      <c r="D445" s="55"/>
      <c r="E445" s="52">
        <v>4080</v>
      </c>
      <c r="F445" s="60">
        <v>35</v>
      </c>
      <c r="G445" s="59">
        <v>38.6</v>
      </c>
      <c r="H445" s="59">
        <v>51.5</v>
      </c>
      <c r="I445" s="60">
        <v>3.7</v>
      </c>
      <c r="J445" s="60">
        <v>3</v>
      </c>
      <c r="K445" s="60">
        <v>3.2</v>
      </c>
      <c r="L445" s="63"/>
      <c r="M445" s="47" t="s">
        <v>808</v>
      </c>
      <c r="O445" s="55"/>
      <c r="P445" s="52"/>
    </row>
    <row r="446" spans="1:22" x14ac:dyDescent="0.2">
      <c r="B446" s="60" t="s">
        <v>821</v>
      </c>
      <c r="C446" s="54" t="s">
        <v>809</v>
      </c>
      <c r="D446" s="55"/>
      <c r="E446" s="52">
        <v>9952</v>
      </c>
      <c r="F446" s="60">
        <v>110</v>
      </c>
      <c r="G446" s="59">
        <v>38.6</v>
      </c>
      <c r="H446" s="59">
        <v>51.5</v>
      </c>
      <c r="I446" s="60">
        <v>3.7</v>
      </c>
      <c r="J446" s="60">
        <v>3</v>
      </c>
      <c r="K446" s="60">
        <v>3.2</v>
      </c>
      <c r="L446" s="63"/>
      <c r="M446" s="60" t="s">
        <v>820</v>
      </c>
      <c r="N446" s="54" t="s">
        <v>809</v>
      </c>
      <c r="O446" s="55"/>
      <c r="P446" s="52">
        <v>4080</v>
      </c>
      <c r="Q446" s="60">
        <v>35</v>
      </c>
      <c r="R446" s="60">
        <v>24</v>
      </c>
      <c r="S446" s="60">
        <v>55</v>
      </c>
      <c r="T446" s="60">
        <v>4</v>
      </c>
      <c r="U446" s="60">
        <v>8</v>
      </c>
      <c r="V446" s="60">
        <v>9</v>
      </c>
    </row>
    <row r="447" spans="1:22" x14ac:dyDescent="0.2">
      <c r="B447" s="60" t="s">
        <v>822</v>
      </c>
      <c r="C447" s="54" t="s">
        <v>809</v>
      </c>
      <c r="D447" s="55"/>
      <c r="E447" s="52">
        <v>12412</v>
      </c>
      <c r="F447" s="60">
        <v>110</v>
      </c>
      <c r="G447" s="59">
        <v>38.6</v>
      </c>
      <c r="H447" s="59">
        <v>51.5</v>
      </c>
      <c r="I447" s="60">
        <v>3.7</v>
      </c>
      <c r="J447" s="60">
        <v>3</v>
      </c>
      <c r="K447" s="60">
        <v>3.2</v>
      </c>
      <c r="L447" s="63"/>
      <c r="M447" s="60" t="s">
        <v>821</v>
      </c>
      <c r="N447" s="54" t="s">
        <v>809</v>
      </c>
      <c r="O447" s="55"/>
      <c r="P447" s="52">
        <v>9952</v>
      </c>
      <c r="Q447" s="60">
        <v>110</v>
      </c>
      <c r="R447" s="60">
        <v>24</v>
      </c>
      <c r="S447" s="60">
        <v>55</v>
      </c>
      <c r="T447" s="60">
        <v>4</v>
      </c>
      <c r="U447" s="60">
        <v>8</v>
      </c>
      <c r="V447" s="60">
        <v>9</v>
      </c>
    </row>
    <row r="448" spans="1:22" x14ac:dyDescent="0.2">
      <c r="B448" s="60" t="s">
        <v>823</v>
      </c>
      <c r="C448" s="54" t="s">
        <v>809</v>
      </c>
      <c r="D448" s="55"/>
      <c r="E448" s="52">
        <v>14405</v>
      </c>
      <c r="F448" s="60">
        <v>220</v>
      </c>
      <c r="G448" s="59">
        <v>38.6</v>
      </c>
      <c r="H448" s="59">
        <v>51.5</v>
      </c>
      <c r="I448" s="60">
        <v>3.7</v>
      </c>
      <c r="J448" s="60">
        <v>3</v>
      </c>
      <c r="K448" s="60">
        <v>3.2</v>
      </c>
      <c r="L448" s="63"/>
      <c r="M448" s="60" t="s">
        <v>822</v>
      </c>
      <c r="N448" s="54" t="s">
        <v>809</v>
      </c>
      <c r="O448" s="55"/>
      <c r="P448" s="52">
        <v>12412</v>
      </c>
      <c r="Q448" s="60">
        <v>110</v>
      </c>
      <c r="R448" s="60">
        <v>24</v>
      </c>
      <c r="S448" s="60">
        <v>55</v>
      </c>
      <c r="T448" s="60">
        <v>4</v>
      </c>
      <c r="U448" s="60">
        <v>8</v>
      </c>
      <c r="V448" s="60">
        <v>9</v>
      </c>
    </row>
    <row r="449" spans="1:22" x14ac:dyDescent="0.2">
      <c r="B449" s="60" t="s">
        <v>824</v>
      </c>
      <c r="C449" s="54" t="s">
        <v>809</v>
      </c>
      <c r="D449" s="55"/>
      <c r="E449" s="52">
        <v>28663</v>
      </c>
      <c r="F449" s="60">
        <v>220</v>
      </c>
      <c r="G449" s="59">
        <v>38.6</v>
      </c>
      <c r="H449" s="59">
        <v>51.5</v>
      </c>
      <c r="I449" s="60">
        <v>3.7</v>
      </c>
      <c r="J449" s="60">
        <v>3</v>
      </c>
      <c r="K449" s="60">
        <v>3.2</v>
      </c>
      <c r="L449" s="63"/>
      <c r="M449" s="60" t="s">
        <v>823</v>
      </c>
      <c r="N449" s="54" t="s">
        <v>809</v>
      </c>
      <c r="O449" s="55"/>
      <c r="P449" s="52">
        <v>14405</v>
      </c>
      <c r="Q449" s="60">
        <v>220</v>
      </c>
      <c r="R449" s="60">
        <v>24</v>
      </c>
      <c r="S449" s="60">
        <v>55</v>
      </c>
      <c r="T449" s="60">
        <v>4</v>
      </c>
      <c r="U449" s="60">
        <v>8</v>
      </c>
      <c r="V449" s="60">
        <v>9</v>
      </c>
    </row>
    <row r="450" spans="1:22" x14ac:dyDescent="0.2">
      <c r="B450" s="60" t="s">
        <v>825</v>
      </c>
      <c r="C450" s="54" t="s">
        <v>809</v>
      </c>
      <c r="D450" s="55"/>
      <c r="E450" s="52">
        <v>34519</v>
      </c>
      <c r="F450" s="60">
        <v>220</v>
      </c>
      <c r="G450" s="59">
        <v>38.6</v>
      </c>
      <c r="H450" s="59">
        <v>51.5</v>
      </c>
      <c r="I450" s="60">
        <v>3.7</v>
      </c>
      <c r="J450" s="60">
        <v>3</v>
      </c>
      <c r="K450" s="60">
        <v>3.2</v>
      </c>
      <c r="L450" s="63"/>
      <c r="M450" s="60" t="s">
        <v>824</v>
      </c>
      <c r="N450" s="54" t="s">
        <v>809</v>
      </c>
      <c r="O450" s="55"/>
      <c r="P450" s="52">
        <v>28663</v>
      </c>
      <c r="Q450" s="60">
        <v>220</v>
      </c>
      <c r="R450" s="60">
        <v>24</v>
      </c>
      <c r="S450" s="60">
        <v>55</v>
      </c>
      <c r="T450" s="60">
        <v>4</v>
      </c>
      <c r="U450" s="60">
        <v>8</v>
      </c>
      <c r="V450" s="60">
        <v>9</v>
      </c>
    </row>
    <row r="451" spans="1:22" x14ac:dyDescent="0.2">
      <c r="D451" s="55"/>
      <c r="L451" s="63"/>
      <c r="M451" s="60" t="s">
        <v>825</v>
      </c>
      <c r="N451" s="54" t="s">
        <v>809</v>
      </c>
      <c r="O451" s="55"/>
      <c r="P451" s="52">
        <v>34519</v>
      </c>
      <c r="Q451" s="60">
        <v>220</v>
      </c>
      <c r="R451" s="60">
        <v>24</v>
      </c>
      <c r="S451" s="60">
        <v>55</v>
      </c>
      <c r="T451" s="60">
        <v>4</v>
      </c>
      <c r="U451" s="60">
        <v>8</v>
      </c>
      <c r="V451" s="60">
        <v>9</v>
      </c>
    </row>
    <row r="452" spans="1:22" x14ac:dyDescent="0.2">
      <c r="A452" s="60">
        <v>29</v>
      </c>
      <c r="B452" s="47" t="s">
        <v>838</v>
      </c>
      <c r="D452" s="55"/>
      <c r="L452" s="63"/>
      <c r="P452" s="52"/>
    </row>
    <row r="453" spans="1:22" x14ac:dyDescent="0.2">
      <c r="B453" s="60" t="s">
        <v>827</v>
      </c>
      <c r="C453" s="54" t="s">
        <v>826</v>
      </c>
      <c r="D453" s="55"/>
      <c r="E453" s="52">
        <v>863</v>
      </c>
      <c r="F453" s="52">
        <v>220</v>
      </c>
      <c r="G453" s="60">
        <v>35</v>
      </c>
      <c r="H453" s="60">
        <v>55</v>
      </c>
      <c r="I453" s="60">
        <v>3.8</v>
      </c>
      <c r="J453" s="60">
        <v>3</v>
      </c>
      <c r="K453" s="60">
        <v>3.2</v>
      </c>
      <c r="L453" s="63">
        <f t="shared" ref="L453:L461" si="5">SUM(G453:K453)</f>
        <v>100</v>
      </c>
    </row>
    <row r="454" spans="1:22" x14ac:dyDescent="0.2">
      <c r="B454" s="60" t="s">
        <v>828</v>
      </c>
      <c r="C454" s="54" t="s">
        <v>826</v>
      </c>
      <c r="D454" s="55"/>
      <c r="E454" s="52">
        <v>1164</v>
      </c>
      <c r="F454" s="52">
        <v>220</v>
      </c>
      <c r="G454" s="60">
        <v>35</v>
      </c>
      <c r="H454" s="60">
        <v>55</v>
      </c>
      <c r="I454" s="60">
        <v>3.8</v>
      </c>
      <c r="J454" s="60">
        <v>3</v>
      </c>
      <c r="K454" s="60">
        <v>3.2</v>
      </c>
      <c r="L454" s="63">
        <f t="shared" si="5"/>
        <v>100</v>
      </c>
      <c r="M454" s="59" t="s">
        <v>1189</v>
      </c>
    </row>
    <row r="455" spans="1:22" x14ac:dyDescent="0.2">
      <c r="A455" s="60">
        <v>26</v>
      </c>
      <c r="B455" s="60" t="s">
        <v>830</v>
      </c>
      <c r="C455" s="54" t="s">
        <v>829</v>
      </c>
      <c r="D455" s="55"/>
      <c r="E455" s="52">
        <v>573.79999999999995</v>
      </c>
      <c r="F455" s="52">
        <v>110</v>
      </c>
      <c r="G455" s="60">
        <v>35</v>
      </c>
      <c r="H455" s="60">
        <v>55</v>
      </c>
      <c r="I455" s="60">
        <v>3.8</v>
      </c>
      <c r="J455" s="60">
        <v>3</v>
      </c>
      <c r="K455" s="60">
        <v>3.2</v>
      </c>
      <c r="L455" s="63">
        <f t="shared" si="5"/>
        <v>100</v>
      </c>
      <c r="M455" s="52"/>
    </row>
    <row r="456" spans="1:22" x14ac:dyDescent="0.2">
      <c r="B456" s="60" t="s">
        <v>831</v>
      </c>
      <c r="C456" s="54" t="s">
        <v>829</v>
      </c>
      <c r="D456" s="55"/>
      <c r="E456" s="52">
        <v>745.2</v>
      </c>
      <c r="F456" s="52">
        <v>220</v>
      </c>
      <c r="G456" s="60">
        <v>35</v>
      </c>
      <c r="H456" s="60">
        <v>55</v>
      </c>
      <c r="I456" s="60">
        <v>3.8</v>
      </c>
      <c r="J456" s="60">
        <v>3</v>
      </c>
      <c r="K456" s="60">
        <v>3.2</v>
      </c>
      <c r="L456" s="63">
        <f t="shared" si="5"/>
        <v>100</v>
      </c>
      <c r="M456" s="52"/>
    </row>
    <row r="457" spans="1:22" x14ac:dyDescent="0.2">
      <c r="B457" s="60" t="s">
        <v>832</v>
      </c>
      <c r="C457" s="54" t="s">
        <v>829</v>
      </c>
      <c r="D457" s="55"/>
      <c r="E457" s="52">
        <v>682.9</v>
      </c>
      <c r="F457" s="52">
        <v>110</v>
      </c>
      <c r="G457" s="60">
        <v>35</v>
      </c>
      <c r="H457" s="60">
        <v>55</v>
      </c>
      <c r="I457" s="60">
        <v>3.8</v>
      </c>
      <c r="J457" s="60">
        <v>3</v>
      </c>
      <c r="K457" s="60">
        <v>3.2</v>
      </c>
      <c r="L457" s="63">
        <f t="shared" si="5"/>
        <v>100</v>
      </c>
      <c r="M457" s="52"/>
    </row>
    <row r="458" spans="1:22" x14ac:dyDescent="0.2">
      <c r="B458" s="60" t="s">
        <v>833</v>
      </c>
      <c r="C458" s="54" t="s">
        <v>829</v>
      </c>
      <c r="D458" s="55"/>
      <c r="E458" s="52">
        <v>884.8</v>
      </c>
      <c r="F458" s="52">
        <v>220</v>
      </c>
      <c r="G458" s="60">
        <v>35</v>
      </c>
      <c r="H458" s="60">
        <v>55</v>
      </c>
      <c r="I458" s="60">
        <v>3.8</v>
      </c>
      <c r="J458" s="60">
        <v>3</v>
      </c>
      <c r="K458" s="60">
        <v>3.2</v>
      </c>
      <c r="L458" s="63">
        <f t="shared" si="5"/>
        <v>100</v>
      </c>
    </row>
    <row r="459" spans="1:22" x14ac:dyDescent="0.2">
      <c r="B459" s="60" t="s">
        <v>834</v>
      </c>
      <c r="C459" s="54" t="s">
        <v>829</v>
      </c>
      <c r="D459" s="55"/>
      <c r="E459" s="52">
        <v>620.29999999999995</v>
      </c>
      <c r="F459" s="52">
        <v>110</v>
      </c>
      <c r="G459" s="60">
        <v>35</v>
      </c>
      <c r="H459" s="60">
        <v>55</v>
      </c>
      <c r="I459" s="60">
        <v>3.8</v>
      </c>
      <c r="J459" s="60">
        <v>3</v>
      </c>
      <c r="K459" s="60">
        <v>3.2</v>
      </c>
      <c r="L459" s="63">
        <f t="shared" si="5"/>
        <v>100</v>
      </c>
    </row>
    <row r="460" spans="1:22" x14ac:dyDescent="0.2">
      <c r="B460" s="60" t="s">
        <v>835</v>
      </c>
      <c r="C460" s="54" t="s">
        <v>829</v>
      </c>
      <c r="D460" s="55"/>
      <c r="E460" s="52">
        <v>769.2</v>
      </c>
      <c r="F460" s="52">
        <v>220</v>
      </c>
      <c r="G460" s="60">
        <v>35</v>
      </c>
      <c r="H460" s="60">
        <v>55</v>
      </c>
      <c r="I460" s="60">
        <v>3.8</v>
      </c>
      <c r="J460" s="60">
        <v>3</v>
      </c>
      <c r="K460" s="60">
        <v>3.2</v>
      </c>
      <c r="L460" s="63">
        <f t="shared" si="5"/>
        <v>100</v>
      </c>
    </row>
    <row r="461" spans="1:22" x14ac:dyDescent="0.2">
      <c r="B461" s="60" t="s">
        <v>836</v>
      </c>
      <c r="C461" s="54" t="s">
        <v>829</v>
      </c>
      <c r="D461" s="55"/>
      <c r="E461" s="52">
        <v>164.5</v>
      </c>
      <c r="F461" s="52">
        <v>110</v>
      </c>
      <c r="G461" s="60">
        <v>35</v>
      </c>
      <c r="H461" s="60">
        <v>55</v>
      </c>
      <c r="I461" s="60">
        <v>3.8</v>
      </c>
      <c r="J461" s="60">
        <v>3</v>
      </c>
      <c r="K461" s="60">
        <v>3.2</v>
      </c>
      <c r="L461" s="63">
        <f t="shared" si="5"/>
        <v>100</v>
      </c>
    </row>
    <row r="462" spans="1:22" x14ac:dyDescent="0.2">
      <c r="B462" s="60" t="s">
        <v>837</v>
      </c>
      <c r="C462" s="54" t="s">
        <v>829</v>
      </c>
      <c r="D462" s="55"/>
      <c r="E462" s="52">
        <v>181.9</v>
      </c>
      <c r="F462" s="52">
        <v>220</v>
      </c>
      <c r="G462" s="60">
        <v>35</v>
      </c>
      <c r="H462" s="60">
        <v>55</v>
      </c>
      <c r="I462" s="60">
        <v>3.8</v>
      </c>
      <c r="J462" s="60">
        <v>3</v>
      </c>
      <c r="K462" s="60">
        <v>3.2</v>
      </c>
      <c r="L462" s="63">
        <f>SUM(G462:K462)</f>
        <v>100</v>
      </c>
    </row>
    <row r="463" spans="1:22" x14ac:dyDescent="0.2">
      <c r="D463" s="55"/>
      <c r="G463" s="52"/>
      <c r="H463" s="52"/>
      <c r="I463" s="52"/>
      <c r="J463" s="52"/>
      <c r="K463" s="52"/>
      <c r="L463" s="63"/>
    </row>
    <row r="464" spans="1:22" x14ac:dyDescent="0.2">
      <c r="A464" s="60">
        <v>17</v>
      </c>
      <c r="B464" s="47" t="s">
        <v>689</v>
      </c>
      <c r="D464" s="55"/>
      <c r="G464" s="52"/>
      <c r="H464" s="52"/>
      <c r="I464" s="52"/>
      <c r="J464" s="52"/>
      <c r="K464" s="52"/>
      <c r="L464" s="63"/>
    </row>
    <row r="465" spans="1:12" x14ac:dyDescent="0.2">
      <c r="B465" s="60" t="s">
        <v>685</v>
      </c>
      <c r="C465" s="54" t="s">
        <v>493</v>
      </c>
      <c r="D465" s="55"/>
      <c r="E465" s="52">
        <v>360</v>
      </c>
      <c r="F465" s="52">
        <v>35</v>
      </c>
      <c r="G465" s="60">
        <v>33</v>
      </c>
      <c r="H465" s="60">
        <v>55</v>
      </c>
      <c r="I465" s="60">
        <v>3.8</v>
      </c>
      <c r="J465" s="60">
        <v>4</v>
      </c>
      <c r="K465" s="60">
        <v>4.2</v>
      </c>
      <c r="L465" s="63"/>
    </row>
    <row r="466" spans="1:12" x14ac:dyDescent="0.2">
      <c r="B466" s="60" t="s">
        <v>690</v>
      </c>
      <c r="C466" s="54" t="s">
        <v>493</v>
      </c>
      <c r="D466" s="55"/>
      <c r="E466" s="52">
        <v>5600</v>
      </c>
      <c r="F466" s="52">
        <v>35</v>
      </c>
      <c r="G466" s="60">
        <v>33</v>
      </c>
      <c r="H466" s="60">
        <v>55</v>
      </c>
      <c r="I466" s="60">
        <v>3.8</v>
      </c>
      <c r="J466" s="60">
        <v>4</v>
      </c>
      <c r="K466" s="60">
        <v>4.2</v>
      </c>
      <c r="L466" s="63"/>
    </row>
    <row r="467" spans="1:12" x14ac:dyDescent="0.2">
      <c r="B467" s="60" t="s">
        <v>691</v>
      </c>
      <c r="C467" s="54" t="s">
        <v>493</v>
      </c>
      <c r="D467" s="55"/>
      <c r="E467" s="52">
        <v>7532</v>
      </c>
      <c r="F467" s="52">
        <v>35</v>
      </c>
      <c r="G467" s="60">
        <v>33</v>
      </c>
      <c r="H467" s="60">
        <v>55</v>
      </c>
      <c r="I467" s="60">
        <v>3.8</v>
      </c>
      <c r="J467" s="60">
        <v>4</v>
      </c>
      <c r="K467" s="60">
        <v>4.2</v>
      </c>
      <c r="L467" s="63"/>
    </row>
    <row r="468" spans="1:12" x14ac:dyDescent="0.2">
      <c r="B468" s="60" t="s">
        <v>688</v>
      </c>
      <c r="C468" s="54" t="s">
        <v>493</v>
      </c>
      <c r="D468" s="55"/>
      <c r="E468" s="52">
        <v>15700</v>
      </c>
      <c r="F468" s="52">
        <v>35</v>
      </c>
      <c r="G468" s="60">
        <v>33</v>
      </c>
      <c r="H468" s="60">
        <v>55</v>
      </c>
      <c r="I468" s="60">
        <v>3.8</v>
      </c>
      <c r="J468" s="60">
        <v>4</v>
      </c>
      <c r="K468" s="60">
        <v>4.2</v>
      </c>
      <c r="L468" s="63"/>
    </row>
    <row r="469" spans="1:12" x14ac:dyDescent="0.2">
      <c r="B469" s="60" t="s">
        <v>692</v>
      </c>
      <c r="C469" s="54" t="s">
        <v>493</v>
      </c>
      <c r="D469" s="55"/>
      <c r="E469" s="52">
        <v>480</v>
      </c>
      <c r="F469" s="52">
        <v>110</v>
      </c>
      <c r="G469" s="60">
        <v>35</v>
      </c>
      <c r="H469" s="60">
        <v>55</v>
      </c>
      <c r="I469" s="60">
        <v>3.8</v>
      </c>
      <c r="J469" s="60">
        <v>3</v>
      </c>
      <c r="K469" s="60">
        <v>3.2</v>
      </c>
      <c r="L469" s="63"/>
    </row>
    <row r="470" spans="1:12" x14ac:dyDescent="0.2">
      <c r="B470" s="60" t="s">
        <v>693</v>
      </c>
      <c r="C470" s="54" t="s">
        <v>493</v>
      </c>
      <c r="D470" s="55"/>
      <c r="E470" s="52">
        <v>9960</v>
      </c>
      <c r="F470" s="52">
        <v>110</v>
      </c>
      <c r="G470" s="60">
        <v>35</v>
      </c>
      <c r="H470" s="60">
        <v>55</v>
      </c>
      <c r="I470" s="60">
        <v>3.8</v>
      </c>
      <c r="J470" s="60">
        <v>3</v>
      </c>
      <c r="K470" s="60">
        <v>3.2</v>
      </c>
      <c r="L470" s="63"/>
    </row>
    <row r="471" spans="1:12" x14ac:dyDescent="0.2">
      <c r="B471" s="60" t="s">
        <v>694</v>
      </c>
      <c r="C471" s="54" t="s">
        <v>493</v>
      </c>
      <c r="D471" s="55"/>
      <c r="E471" s="52">
        <v>11900</v>
      </c>
      <c r="F471" s="52">
        <v>110</v>
      </c>
      <c r="G471" s="60">
        <v>35</v>
      </c>
      <c r="H471" s="60">
        <v>55</v>
      </c>
      <c r="I471" s="60">
        <v>3.8</v>
      </c>
      <c r="J471" s="60">
        <v>3</v>
      </c>
      <c r="K471" s="60">
        <v>3.2</v>
      </c>
      <c r="L471" s="63"/>
    </row>
    <row r="472" spans="1:12" x14ac:dyDescent="0.2">
      <c r="B472" s="60" t="s">
        <v>687</v>
      </c>
      <c r="C472" s="54" t="s">
        <v>493</v>
      </c>
      <c r="D472" s="55"/>
      <c r="E472" s="52">
        <v>23100</v>
      </c>
      <c r="F472" s="52">
        <v>110</v>
      </c>
      <c r="G472" s="60">
        <v>35</v>
      </c>
      <c r="H472" s="60">
        <v>55</v>
      </c>
      <c r="I472" s="60">
        <v>3.8</v>
      </c>
      <c r="J472" s="60">
        <v>3</v>
      </c>
      <c r="K472" s="60">
        <v>3.2</v>
      </c>
      <c r="L472" s="63"/>
    </row>
    <row r="473" spans="1:12" x14ac:dyDescent="0.2">
      <c r="B473" s="60" t="s">
        <v>695</v>
      </c>
      <c r="C473" s="54" t="s">
        <v>493</v>
      </c>
      <c r="D473" s="55"/>
      <c r="E473" s="52">
        <v>690</v>
      </c>
      <c r="F473" s="52">
        <v>220</v>
      </c>
      <c r="G473" s="60">
        <v>35</v>
      </c>
      <c r="H473" s="60">
        <v>55</v>
      </c>
      <c r="I473" s="60">
        <v>3.8</v>
      </c>
      <c r="J473" s="60">
        <v>3</v>
      </c>
      <c r="K473" s="60">
        <v>3.2</v>
      </c>
      <c r="L473" s="63"/>
    </row>
    <row r="474" spans="1:12" x14ac:dyDescent="0.2">
      <c r="B474" s="60" t="s">
        <v>696</v>
      </c>
      <c r="C474" s="54" t="s">
        <v>493</v>
      </c>
      <c r="D474" s="55"/>
      <c r="E474" s="52">
        <v>12700</v>
      </c>
      <c r="F474" s="52">
        <v>220</v>
      </c>
      <c r="G474" s="60">
        <v>35</v>
      </c>
      <c r="H474" s="60">
        <v>55</v>
      </c>
      <c r="I474" s="60">
        <v>3.8</v>
      </c>
      <c r="J474" s="60">
        <v>3</v>
      </c>
      <c r="K474" s="60">
        <v>3.2</v>
      </c>
      <c r="L474" s="63"/>
    </row>
    <row r="475" spans="1:12" x14ac:dyDescent="0.2">
      <c r="B475" s="60" t="s">
        <v>697</v>
      </c>
      <c r="C475" s="54" t="s">
        <v>493</v>
      </c>
      <c r="D475" s="55"/>
      <c r="E475" s="52">
        <v>27400</v>
      </c>
      <c r="F475" s="52">
        <v>220</v>
      </c>
      <c r="G475" s="60">
        <v>35</v>
      </c>
      <c r="H475" s="60">
        <v>55</v>
      </c>
      <c r="I475" s="60">
        <v>3.8</v>
      </c>
      <c r="J475" s="60">
        <v>3</v>
      </c>
      <c r="K475" s="60">
        <v>3.2</v>
      </c>
      <c r="L475" s="63"/>
    </row>
    <row r="476" spans="1:12" x14ac:dyDescent="0.2">
      <c r="B476" s="60" t="s">
        <v>686</v>
      </c>
      <c r="C476" s="54" t="s">
        <v>493</v>
      </c>
      <c r="D476" s="55"/>
      <c r="E476" s="52">
        <v>35000</v>
      </c>
      <c r="F476" s="52">
        <v>220</v>
      </c>
      <c r="G476" s="60">
        <v>35</v>
      </c>
      <c r="H476" s="60">
        <v>55</v>
      </c>
      <c r="I476" s="60">
        <v>3.8</v>
      </c>
      <c r="J476" s="60">
        <v>3</v>
      </c>
      <c r="K476" s="60">
        <v>3.2</v>
      </c>
      <c r="L476" s="63"/>
    </row>
    <row r="477" spans="1:12" x14ac:dyDescent="0.2">
      <c r="D477" s="55"/>
      <c r="L477" s="63"/>
    </row>
    <row r="478" spans="1:12" x14ac:dyDescent="0.2">
      <c r="A478" s="60">
        <v>18</v>
      </c>
      <c r="B478" s="47" t="s">
        <v>698</v>
      </c>
      <c r="D478" s="55"/>
      <c r="L478" s="63" t="s">
        <v>1280</v>
      </c>
    </row>
    <row r="479" spans="1:12" x14ac:dyDescent="0.2">
      <c r="B479" s="60" t="s">
        <v>699</v>
      </c>
      <c r="C479" s="54" t="s">
        <v>494</v>
      </c>
      <c r="D479" s="55"/>
      <c r="E479" s="52">
        <v>190</v>
      </c>
      <c r="F479" s="60">
        <v>10</v>
      </c>
      <c r="G479" s="60">
        <v>33</v>
      </c>
      <c r="H479" s="60">
        <v>55</v>
      </c>
      <c r="I479" s="60">
        <v>3.8</v>
      </c>
      <c r="J479" s="60">
        <v>4</v>
      </c>
      <c r="K479" s="60">
        <v>4.2</v>
      </c>
      <c r="L479" s="63"/>
    </row>
    <row r="480" spans="1:12" x14ac:dyDescent="0.2">
      <c r="B480" s="60" t="s">
        <v>700</v>
      </c>
      <c r="C480" s="54" t="s">
        <v>494</v>
      </c>
      <c r="D480" s="55"/>
      <c r="E480" s="52">
        <v>313</v>
      </c>
      <c r="F480" s="60">
        <v>10</v>
      </c>
      <c r="G480" s="60">
        <v>33</v>
      </c>
      <c r="H480" s="60">
        <v>55</v>
      </c>
      <c r="I480" s="60">
        <v>3.8</v>
      </c>
      <c r="J480" s="60">
        <v>4</v>
      </c>
      <c r="K480" s="60">
        <v>4.2</v>
      </c>
    </row>
    <row r="481" spans="2:12" x14ac:dyDescent="0.2">
      <c r="B481" s="60" t="s">
        <v>701</v>
      </c>
      <c r="C481" s="54" t="s">
        <v>494</v>
      </c>
      <c r="D481" s="55"/>
      <c r="E481" s="52">
        <v>300</v>
      </c>
      <c r="F481" s="60">
        <v>10</v>
      </c>
      <c r="G481" s="60">
        <v>33</v>
      </c>
      <c r="H481" s="60">
        <v>55</v>
      </c>
      <c r="I481" s="60">
        <v>3.8</v>
      </c>
      <c r="J481" s="60">
        <v>4</v>
      </c>
      <c r="K481" s="60">
        <v>4.2</v>
      </c>
      <c r="L481" s="63">
        <v>1</v>
      </c>
    </row>
    <row r="482" spans="2:12" x14ac:dyDescent="0.2">
      <c r="B482" s="60" t="s">
        <v>707</v>
      </c>
      <c r="C482" s="54" t="s">
        <v>494</v>
      </c>
      <c r="D482" s="55"/>
      <c r="E482" s="52">
        <v>330</v>
      </c>
      <c r="F482" s="60">
        <v>10</v>
      </c>
      <c r="G482" s="60">
        <v>33</v>
      </c>
      <c r="H482" s="60">
        <v>55</v>
      </c>
      <c r="I482" s="60">
        <v>3.8</v>
      </c>
      <c r="J482" s="60">
        <v>4</v>
      </c>
      <c r="K482" s="60">
        <v>4.2</v>
      </c>
      <c r="L482" s="63">
        <v>1</v>
      </c>
    </row>
    <row r="483" spans="2:12" x14ac:dyDescent="0.2">
      <c r="B483" s="60" t="s">
        <v>702</v>
      </c>
      <c r="C483" s="54" t="s">
        <v>494</v>
      </c>
      <c r="D483" s="55"/>
      <c r="E483" s="52">
        <v>940</v>
      </c>
      <c r="F483" s="60">
        <v>35</v>
      </c>
      <c r="G483" s="60">
        <v>33</v>
      </c>
      <c r="H483" s="60">
        <v>55</v>
      </c>
      <c r="I483" s="60">
        <v>3.8</v>
      </c>
      <c r="J483" s="60">
        <v>4</v>
      </c>
      <c r="K483" s="60">
        <v>4.2</v>
      </c>
      <c r="L483" s="63"/>
    </row>
    <row r="484" spans="2:12" x14ac:dyDescent="0.2">
      <c r="B484" s="60" t="s">
        <v>1135</v>
      </c>
      <c r="C484" s="54" t="s">
        <v>494</v>
      </c>
      <c r="D484" s="55"/>
      <c r="E484" s="52">
        <v>452</v>
      </c>
      <c r="F484" s="60">
        <v>35</v>
      </c>
      <c r="G484" s="60">
        <v>33</v>
      </c>
      <c r="H484" s="60">
        <v>55</v>
      </c>
      <c r="I484" s="60">
        <v>3.8</v>
      </c>
      <c r="J484" s="60">
        <v>4</v>
      </c>
      <c r="K484" s="60">
        <v>4.2</v>
      </c>
      <c r="L484" s="63"/>
    </row>
    <row r="485" spans="2:12" x14ac:dyDescent="0.2">
      <c r="B485" s="60" t="s">
        <v>1136</v>
      </c>
      <c r="C485" s="54" t="s">
        <v>494</v>
      </c>
      <c r="D485" s="55"/>
      <c r="E485" s="52">
        <v>998</v>
      </c>
      <c r="F485" s="60">
        <v>35</v>
      </c>
      <c r="G485" s="60">
        <v>19</v>
      </c>
      <c r="H485" s="60">
        <v>60</v>
      </c>
      <c r="I485" s="60">
        <v>4</v>
      </c>
      <c r="J485" s="60">
        <v>8</v>
      </c>
      <c r="K485" s="60">
        <v>9</v>
      </c>
      <c r="L485" s="63">
        <v>1</v>
      </c>
    </row>
    <row r="486" spans="2:12" x14ac:dyDescent="0.2">
      <c r="B486" s="60" t="s">
        <v>1137</v>
      </c>
      <c r="C486" s="54" t="s">
        <v>494</v>
      </c>
      <c r="D486" s="55"/>
      <c r="E486" s="52">
        <v>1626</v>
      </c>
      <c r="F486" s="60">
        <v>35</v>
      </c>
      <c r="G486" s="60">
        <v>24</v>
      </c>
      <c r="H486" s="60">
        <v>55</v>
      </c>
      <c r="I486" s="60">
        <v>4</v>
      </c>
      <c r="J486" s="60">
        <v>8</v>
      </c>
      <c r="K486" s="60">
        <v>9</v>
      </c>
      <c r="L486" s="63">
        <v>1</v>
      </c>
    </row>
    <row r="487" spans="2:12" x14ac:dyDescent="0.2">
      <c r="B487" s="60" t="s">
        <v>703</v>
      </c>
      <c r="C487" s="54" t="s">
        <v>494</v>
      </c>
      <c r="D487" s="55"/>
      <c r="E487" s="52">
        <v>3412</v>
      </c>
      <c r="F487" s="60">
        <v>110</v>
      </c>
      <c r="G487" s="60">
        <v>35</v>
      </c>
      <c r="H487" s="60">
        <v>55</v>
      </c>
      <c r="I487" s="60">
        <v>3.8</v>
      </c>
      <c r="J487" s="60">
        <v>3</v>
      </c>
      <c r="K487" s="60">
        <v>3.2</v>
      </c>
      <c r="L487" s="63"/>
    </row>
    <row r="488" spans="2:12" x14ac:dyDescent="0.2">
      <c r="B488" s="60" t="s">
        <v>704</v>
      </c>
      <c r="C488" s="54" t="s">
        <v>494</v>
      </c>
      <c r="D488" s="55"/>
      <c r="E488" s="52">
        <v>2946</v>
      </c>
      <c r="F488" s="60">
        <v>110</v>
      </c>
      <c r="G488" s="60">
        <v>35</v>
      </c>
      <c r="H488" s="60">
        <v>55</v>
      </c>
      <c r="I488" s="60">
        <v>3.8</v>
      </c>
      <c r="J488" s="60">
        <v>3</v>
      </c>
      <c r="K488" s="60">
        <v>3.2</v>
      </c>
      <c r="L488" s="63"/>
    </row>
    <row r="489" spans="2:12" x14ac:dyDescent="0.2">
      <c r="B489" s="60" t="s">
        <v>705</v>
      </c>
      <c r="C489" s="54" t="s">
        <v>494</v>
      </c>
      <c r="D489" s="55"/>
      <c r="E489" s="52">
        <v>963</v>
      </c>
      <c r="F489" s="60">
        <v>110</v>
      </c>
      <c r="G489" s="60">
        <v>35</v>
      </c>
      <c r="H489" s="60">
        <v>55</v>
      </c>
      <c r="I489" s="60">
        <v>3.8</v>
      </c>
      <c r="J489" s="60">
        <v>3</v>
      </c>
      <c r="K489" s="60">
        <v>3.2</v>
      </c>
      <c r="L489" s="63"/>
    </row>
    <row r="490" spans="2:12" x14ac:dyDescent="0.2">
      <c r="B490" s="60" t="s">
        <v>706</v>
      </c>
      <c r="C490" s="54" t="s">
        <v>494</v>
      </c>
      <c r="D490" s="55"/>
      <c r="E490" s="52">
        <v>6790</v>
      </c>
      <c r="F490" s="60">
        <v>110</v>
      </c>
      <c r="G490" s="60">
        <v>19</v>
      </c>
      <c r="H490" s="60">
        <v>60</v>
      </c>
      <c r="I490" s="60">
        <v>4</v>
      </c>
      <c r="J490" s="60">
        <v>8</v>
      </c>
      <c r="K490" s="60">
        <v>9</v>
      </c>
      <c r="L490" s="63">
        <v>1</v>
      </c>
    </row>
    <row r="491" spans="2:12" x14ac:dyDescent="0.2">
      <c r="B491" s="60" t="s">
        <v>1138</v>
      </c>
      <c r="C491" s="54" t="s">
        <v>494</v>
      </c>
      <c r="D491" s="55"/>
      <c r="E491" s="52">
        <v>7200</v>
      </c>
      <c r="F491" s="60">
        <v>110</v>
      </c>
      <c r="G491" s="60">
        <v>24</v>
      </c>
      <c r="H491" s="60">
        <v>55</v>
      </c>
      <c r="I491" s="60">
        <v>4</v>
      </c>
      <c r="J491" s="60">
        <v>8</v>
      </c>
      <c r="K491" s="60">
        <v>9</v>
      </c>
      <c r="L491" s="63">
        <v>1</v>
      </c>
    </row>
    <row r="492" spans="2:12" x14ac:dyDescent="0.2">
      <c r="B492" s="60" t="s">
        <v>1139</v>
      </c>
      <c r="C492" s="54" t="s">
        <v>494</v>
      </c>
      <c r="D492" s="55"/>
      <c r="E492" s="52">
        <v>19710</v>
      </c>
      <c r="F492" s="60">
        <v>110</v>
      </c>
      <c r="G492" s="60">
        <v>24</v>
      </c>
      <c r="H492" s="60">
        <v>55</v>
      </c>
      <c r="I492" s="60">
        <v>4</v>
      </c>
      <c r="J492" s="60">
        <v>8</v>
      </c>
      <c r="K492" s="60">
        <v>9</v>
      </c>
      <c r="L492" s="63">
        <v>1</v>
      </c>
    </row>
    <row r="493" spans="2:12" x14ac:dyDescent="0.2">
      <c r="B493" s="60" t="s">
        <v>1140</v>
      </c>
      <c r="C493" s="54" t="s">
        <v>494</v>
      </c>
      <c r="D493" s="55"/>
      <c r="E493" s="52">
        <v>9370</v>
      </c>
      <c r="F493" s="60">
        <v>110</v>
      </c>
      <c r="G493" s="60">
        <v>24</v>
      </c>
      <c r="H493" s="60">
        <v>55</v>
      </c>
      <c r="I493" s="60">
        <v>4</v>
      </c>
      <c r="J493" s="60">
        <v>8</v>
      </c>
      <c r="K493" s="60">
        <v>9</v>
      </c>
      <c r="L493" s="63">
        <v>1</v>
      </c>
    </row>
    <row r="494" spans="2:12" x14ac:dyDescent="0.2">
      <c r="B494" s="60" t="s">
        <v>1141</v>
      </c>
      <c r="C494" s="54" t="s">
        <v>494</v>
      </c>
      <c r="D494" s="55"/>
      <c r="E494" s="52">
        <v>7312</v>
      </c>
      <c r="F494" s="60">
        <v>220</v>
      </c>
      <c r="G494" s="60">
        <v>35</v>
      </c>
      <c r="H494" s="60">
        <v>55</v>
      </c>
      <c r="I494" s="60">
        <v>3.8</v>
      </c>
      <c r="J494" s="60">
        <v>3</v>
      </c>
      <c r="K494" s="60">
        <v>3.2</v>
      </c>
      <c r="L494" s="63"/>
    </row>
    <row r="495" spans="2:12" x14ac:dyDescent="0.2">
      <c r="B495" s="60" t="s">
        <v>1142</v>
      </c>
      <c r="C495" s="54" t="s">
        <v>494</v>
      </c>
      <c r="D495" s="55"/>
      <c r="E495" s="52">
        <v>7750</v>
      </c>
      <c r="F495" s="60">
        <v>220</v>
      </c>
      <c r="G495" s="60">
        <v>35</v>
      </c>
      <c r="H495" s="60">
        <v>55</v>
      </c>
      <c r="I495" s="60">
        <v>3.8</v>
      </c>
      <c r="J495" s="60">
        <v>3</v>
      </c>
      <c r="K495" s="60">
        <v>3.2</v>
      </c>
      <c r="L495" s="63"/>
    </row>
    <row r="496" spans="2:12" x14ac:dyDescent="0.2">
      <c r="B496" s="60" t="s">
        <v>1143</v>
      </c>
      <c r="C496" s="54" t="s">
        <v>494</v>
      </c>
      <c r="D496" s="55"/>
      <c r="E496" s="52">
        <v>11224</v>
      </c>
      <c r="F496" s="60">
        <v>220</v>
      </c>
      <c r="G496" s="60">
        <v>19</v>
      </c>
      <c r="H496" s="60">
        <v>60</v>
      </c>
      <c r="I496" s="60">
        <v>4</v>
      </c>
      <c r="J496" s="60">
        <v>8</v>
      </c>
      <c r="K496" s="60">
        <v>9</v>
      </c>
      <c r="L496" s="63">
        <v>1</v>
      </c>
    </row>
    <row r="497" spans="1:12" x14ac:dyDescent="0.2">
      <c r="B497" s="60" t="s">
        <v>1144</v>
      </c>
      <c r="C497" s="54" t="s">
        <v>494</v>
      </c>
      <c r="D497" s="55"/>
      <c r="E497" s="52">
        <v>22500</v>
      </c>
      <c r="F497" s="60">
        <v>220</v>
      </c>
      <c r="G497" s="60">
        <v>19</v>
      </c>
      <c r="H497" s="60">
        <v>60</v>
      </c>
      <c r="I497" s="60">
        <v>4</v>
      </c>
      <c r="J497" s="60">
        <v>8</v>
      </c>
      <c r="K497" s="60">
        <v>9</v>
      </c>
      <c r="L497" s="63">
        <v>1</v>
      </c>
    </row>
    <row r="498" spans="1:12" x14ac:dyDescent="0.2">
      <c r="B498" s="60" t="s">
        <v>1145</v>
      </c>
      <c r="C498" s="54" t="s">
        <v>494</v>
      </c>
      <c r="D498" s="55"/>
      <c r="E498" s="52">
        <v>31920</v>
      </c>
      <c r="F498" s="60">
        <v>220</v>
      </c>
      <c r="G498" s="60">
        <v>24</v>
      </c>
      <c r="H498" s="60">
        <v>55</v>
      </c>
      <c r="I498" s="60">
        <v>4</v>
      </c>
      <c r="J498" s="60">
        <v>8</v>
      </c>
      <c r="K498" s="60">
        <v>9</v>
      </c>
      <c r="L498" s="63">
        <v>1</v>
      </c>
    </row>
    <row r="499" spans="1:12" x14ac:dyDescent="0.2">
      <c r="D499" s="55"/>
      <c r="L499" s="63"/>
    </row>
    <row r="500" spans="1:12" x14ac:dyDescent="0.2">
      <c r="A500" s="60">
        <v>19</v>
      </c>
      <c r="B500" s="47" t="s">
        <v>708</v>
      </c>
      <c r="D500" s="55"/>
      <c r="L500" s="63"/>
    </row>
    <row r="501" spans="1:12" x14ac:dyDescent="0.2">
      <c r="B501" s="60" t="s">
        <v>709</v>
      </c>
      <c r="C501" s="54" t="s">
        <v>495</v>
      </c>
      <c r="D501" s="55"/>
      <c r="E501" s="52">
        <v>1290</v>
      </c>
      <c r="F501" s="60">
        <v>35</v>
      </c>
      <c r="G501" s="60">
        <v>33</v>
      </c>
      <c r="H501" s="60">
        <v>55</v>
      </c>
      <c r="I501" s="60">
        <v>3.8</v>
      </c>
      <c r="J501" s="60">
        <v>4</v>
      </c>
      <c r="K501" s="60">
        <v>4.2</v>
      </c>
      <c r="L501" s="63"/>
    </row>
    <row r="502" spans="1:12" x14ac:dyDescent="0.2">
      <c r="B502" s="60" t="s">
        <v>710</v>
      </c>
      <c r="C502" s="54" t="s">
        <v>495</v>
      </c>
      <c r="D502" s="55"/>
      <c r="E502" s="52">
        <v>1460</v>
      </c>
      <c r="F502" s="60">
        <v>35</v>
      </c>
      <c r="G502" s="60">
        <v>33</v>
      </c>
      <c r="H502" s="60">
        <v>55</v>
      </c>
      <c r="I502" s="60">
        <v>3.8</v>
      </c>
      <c r="J502" s="60">
        <v>4</v>
      </c>
      <c r="K502" s="60">
        <v>4.2</v>
      </c>
      <c r="L502" s="63"/>
    </row>
    <row r="503" spans="1:12" x14ac:dyDescent="0.2">
      <c r="B503" s="60" t="s">
        <v>711</v>
      </c>
      <c r="C503" s="54" t="s">
        <v>495</v>
      </c>
      <c r="D503" s="55"/>
      <c r="E503" s="52">
        <v>1876</v>
      </c>
      <c r="F503" s="60">
        <v>35</v>
      </c>
      <c r="G503" s="60">
        <v>33</v>
      </c>
      <c r="H503" s="60">
        <v>55</v>
      </c>
      <c r="I503" s="60">
        <v>3.8</v>
      </c>
      <c r="J503" s="60">
        <v>4</v>
      </c>
      <c r="K503" s="60">
        <v>4.2</v>
      </c>
      <c r="L503" s="63"/>
    </row>
    <row r="504" spans="1:12" x14ac:dyDescent="0.2">
      <c r="B504" s="60" t="s">
        <v>712</v>
      </c>
      <c r="C504" s="54" t="s">
        <v>495</v>
      </c>
      <c r="D504" s="55"/>
      <c r="E504" s="52">
        <v>2473</v>
      </c>
      <c r="F504" s="60">
        <v>35</v>
      </c>
      <c r="G504" s="60">
        <v>33</v>
      </c>
      <c r="H504" s="60">
        <v>55</v>
      </c>
      <c r="I504" s="60">
        <v>3.8</v>
      </c>
      <c r="J504" s="60">
        <v>4</v>
      </c>
      <c r="K504" s="60">
        <v>4.2</v>
      </c>
      <c r="L504" s="63"/>
    </row>
    <row r="505" spans="1:12" x14ac:dyDescent="0.2">
      <c r="B505" s="60" t="s">
        <v>713</v>
      </c>
      <c r="C505" s="54" t="s">
        <v>495</v>
      </c>
      <c r="D505" s="55"/>
      <c r="E505" s="52">
        <v>3270</v>
      </c>
      <c r="F505" s="60">
        <v>35</v>
      </c>
      <c r="G505" s="60">
        <v>33</v>
      </c>
      <c r="H505" s="60">
        <v>55</v>
      </c>
      <c r="I505" s="60">
        <v>3.8</v>
      </c>
      <c r="J505" s="60">
        <v>4</v>
      </c>
      <c r="K505" s="60">
        <v>4.2</v>
      </c>
      <c r="L505" s="63"/>
    </row>
    <row r="506" spans="1:12" x14ac:dyDescent="0.2">
      <c r="B506" s="60" t="s">
        <v>714</v>
      </c>
      <c r="C506" s="54" t="s">
        <v>495</v>
      </c>
      <c r="D506" s="55"/>
      <c r="E506" s="52">
        <v>4417</v>
      </c>
      <c r="F506" s="60">
        <v>35</v>
      </c>
      <c r="G506" s="60">
        <v>33</v>
      </c>
      <c r="H506" s="60">
        <v>55</v>
      </c>
      <c r="I506" s="60">
        <v>3.8</v>
      </c>
      <c r="J506" s="60">
        <v>4</v>
      </c>
      <c r="K506" s="60">
        <v>4.2</v>
      </c>
      <c r="L506" s="63"/>
    </row>
    <row r="507" spans="1:12" x14ac:dyDescent="0.2">
      <c r="B507" s="60" t="s">
        <v>715</v>
      </c>
      <c r="C507" s="54" t="s">
        <v>495</v>
      </c>
      <c r="D507" s="55"/>
      <c r="E507" s="52">
        <v>6714</v>
      </c>
      <c r="F507" s="60">
        <v>35</v>
      </c>
      <c r="G507" s="60">
        <v>33</v>
      </c>
      <c r="H507" s="60">
        <v>55</v>
      </c>
      <c r="I507" s="60">
        <v>3.8</v>
      </c>
      <c r="J507" s="60">
        <v>4</v>
      </c>
      <c r="K507" s="60">
        <v>4.2</v>
      </c>
      <c r="L507" s="63"/>
    </row>
    <row r="508" spans="1:12" x14ac:dyDescent="0.2">
      <c r="B508" s="60" t="s">
        <v>716</v>
      </c>
      <c r="C508" s="54" t="s">
        <v>495</v>
      </c>
      <c r="D508" s="55"/>
      <c r="E508" s="52">
        <v>2800</v>
      </c>
      <c r="F508" s="60">
        <v>110</v>
      </c>
      <c r="G508" s="60">
        <v>35</v>
      </c>
      <c r="H508" s="60">
        <v>55</v>
      </c>
      <c r="I508" s="60">
        <v>3.8</v>
      </c>
      <c r="J508" s="60">
        <v>3</v>
      </c>
      <c r="K508" s="60">
        <v>3.2</v>
      </c>
      <c r="L508" s="63"/>
    </row>
    <row r="509" spans="1:12" x14ac:dyDescent="0.2">
      <c r="B509" s="60" t="s">
        <v>717</v>
      </c>
      <c r="C509" s="54" t="s">
        <v>495</v>
      </c>
      <c r="D509" s="55"/>
      <c r="E509" s="52">
        <v>2960</v>
      </c>
      <c r="F509" s="60">
        <v>110</v>
      </c>
      <c r="G509" s="60">
        <v>35</v>
      </c>
      <c r="H509" s="60">
        <v>55</v>
      </c>
      <c r="I509" s="60">
        <v>3.8</v>
      </c>
      <c r="J509" s="60">
        <v>3</v>
      </c>
      <c r="K509" s="60">
        <v>3.2</v>
      </c>
      <c r="L509" s="63"/>
    </row>
    <row r="510" spans="1:12" x14ac:dyDescent="0.2">
      <c r="B510" s="60" t="s">
        <v>718</v>
      </c>
      <c r="C510" s="54" t="s">
        <v>495</v>
      </c>
      <c r="D510" s="55"/>
      <c r="E510" s="52">
        <v>3420</v>
      </c>
      <c r="F510" s="60">
        <v>110</v>
      </c>
      <c r="G510" s="60">
        <v>35</v>
      </c>
      <c r="H510" s="60">
        <v>55</v>
      </c>
      <c r="I510" s="60">
        <v>3.8</v>
      </c>
      <c r="J510" s="60">
        <v>3</v>
      </c>
      <c r="K510" s="60">
        <v>3.2</v>
      </c>
      <c r="L510" s="63"/>
    </row>
    <row r="511" spans="1:12" x14ac:dyDescent="0.2">
      <c r="B511" s="60" t="s">
        <v>719</v>
      </c>
      <c r="C511" s="54" t="s">
        <v>495</v>
      </c>
      <c r="D511" s="55"/>
      <c r="E511" s="52">
        <v>6273</v>
      </c>
      <c r="F511" s="60">
        <v>110</v>
      </c>
      <c r="G511" s="60">
        <v>35</v>
      </c>
      <c r="H511" s="60">
        <v>55</v>
      </c>
      <c r="I511" s="60">
        <v>3.8</v>
      </c>
      <c r="J511" s="60">
        <v>3</v>
      </c>
      <c r="K511" s="60">
        <v>3.2</v>
      </c>
      <c r="L511" s="63"/>
    </row>
    <row r="512" spans="1:12" x14ac:dyDescent="0.2">
      <c r="B512" s="60" t="s">
        <v>720</v>
      </c>
      <c r="C512" s="54" t="s">
        <v>495</v>
      </c>
      <c r="D512" s="55"/>
      <c r="E512" s="52">
        <v>7898</v>
      </c>
      <c r="F512" s="60">
        <v>110</v>
      </c>
      <c r="G512" s="60">
        <v>35</v>
      </c>
      <c r="H512" s="60">
        <v>55</v>
      </c>
      <c r="I512" s="60">
        <v>3.8</v>
      </c>
      <c r="J512" s="60">
        <v>3</v>
      </c>
      <c r="K512" s="60">
        <v>3.2</v>
      </c>
      <c r="L512" s="63"/>
    </row>
    <row r="513" spans="2:12" x14ac:dyDescent="0.2">
      <c r="B513" s="60" t="s">
        <v>721</v>
      </c>
      <c r="C513" s="54" t="s">
        <v>495</v>
      </c>
      <c r="D513" s="55"/>
      <c r="E513" s="52">
        <v>10249</v>
      </c>
      <c r="F513" s="60">
        <v>110</v>
      </c>
      <c r="G513" s="60">
        <v>35</v>
      </c>
      <c r="H513" s="60">
        <v>55</v>
      </c>
      <c r="I513" s="60">
        <v>3.8</v>
      </c>
      <c r="J513" s="60">
        <v>3</v>
      </c>
      <c r="K513" s="60">
        <v>3.2</v>
      </c>
      <c r="L513" s="63"/>
    </row>
    <row r="514" spans="2:12" x14ac:dyDescent="0.2">
      <c r="B514" s="60" t="s">
        <v>722</v>
      </c>
      <c r="C514" s="54" t="s">
        <v>495</v>
      </c>
      <c r="D514" s="55"/>
      <c r="E514" s="52">
        <v>11532</v>
      </c>
      <c r="F514" s="60">
        <v>110</v>
      </c>
      <c r="G514" s="60">
        <v>35</v>
      </c>
      <c r="H514" s="60">
        <v>55</v>
      </c>
      <c r="I514" s="60">
        <v>3.8</v>
      </c>
      <c r="J514" s="60">
        <v>3</v>
      </c>
      <c r="K514" s="60">
        <v>3.2</v>
      </c>
      <c r="L514" s="63"/>
    </row>
    <row r="515" spans="2:12" x14ac:dyDescent="0.2">
      <c r="B515" s="60" t="s">
        <v>723</v>
      </c>
      <c r="C515" s="54" t="s">
        <v>495</v>
      </c>
      <c r="D515" s="55"/>
      <c r="E515" s="52">
        <v>16712</v>
      </c>
      <c r="F515" s="60">
        <v>110</v>
      </c>
      <c r="G515" s="60">
        <v>35</v>
      </c>
      <c r="H515" s="60">
        <v>55</v>
      </c>
      <c r="I515" s="60">
        <v>3.8</v>
      </c>
      <c r="J515" s="60">
        <v>3</v>
      </c>
      <c r="K515" s="60">
        <v>3.2</v>
      </c>
      <c r="L515" s="63"/>
    </row>
    <row r="516" spans="2:12" x14ac:dyDescent="0.2">
      <c r="B516" s="60" t="s">
        <v>724</v>
      </c>
      <c r="C516" s="54" t="s">
        <v>495</v>
      </c>
      <c r="D516" s="55"/>
      <c r="E516" s="52">
        <v>17260</v>
      </c>
      <c r="F516" s="60">
        <v>110</v>
      </c>
      <c r="G516" s="60">
        <v>35</v>
      </c>
      <c r="H516" s="60">
        <v>55</v>
      </c>
      <c r="I516" s="60">
        <v>3.8</v>
      </c>
      <c r="J516" s="60">
        <v>3</v>
      </c>
      <c r="K516" s="60">
        <v>3.2</v>
      </c>
      <c r="L516" s="63"/>
    </row>
    <row r="517" spans="2:12" x14ac:dyDescent="0.2">
      <c r="B517" s="60" t="s">
        <v>725</v>
      </c>
      <c r="C517" s="54" t="s">
        <v>495</v>
      </c>
      <c r="D517" s="55"/>
      <c r="E517" s="52">
        <v>3160</v>
      </c>
      <c r="F517" s="60">
        <v>110</v>
      </c>
      <c r="G517" s="60">
        <v>35</v>
      </c>
      <c r="H517" s="60">
        <v>55</v>
      </c>
      <c r="I517" s="60">
        <v>3.8</v>
      </c>
      <c r="J517" s="60">
        <v>3</v>
      </c>
      <c r="K517" s="60">
        <v>3.2</v>
      </c>
      <c r="L517" s="63"/>
    </row>
    <row r="518" spans="2:12" x14ac:dyDescent="0.2">
      <c r="B518" s="60" t="s">
        <v>726</v>
      </c>
      <c r="C518" s="54" t="s">
        <v>495</v>
      </c>
      <c r="D518" s="55"/>
      <c r="E518" s="52">
        <v>4682</v>
      </c>
      <c r="F518" s="60">
        <v>110</v>
      </c>
      <c r="G518" s="60">
        <v>35</v>
      </c>
      <c r="H518" s="60">
        <v>55</v>
      </c>
      <c r="I518" s="60">
        <v>3.8</v>
      </c>
      <c r="J518" s="60">
        <v>3</v>
      </c>
      <c r="K518" s="60">
        <v>3.2</v>
      </c>
      <c r="L518" s="63"/>
    </row>
    <row r="519" spans="2:12" x14ac:dyDescent="0.2">
      <c r="B519" s="60" t="s">
        <v>727</v>
      </c>
      <c r="C519" s="54" t="s">
        <v>495</v>
      </c>
      <c r="D519" s="55"/>
      <c r="E519" s="52">
        <v>6473</v>
      </c>
      <c r="F519" s="60">
        <v>110</v>
      </c>
      <c r="G519" s="60">
        <v>35</v>
      </c>
      <c r="H519" s="60">
        <v>55</v>
      </c>
      <c r="I519" s="60">
        <v>3.8</v>
      </c>
      <c r="J519" s="60">
        <v>3</v>
      </c>
      <c r="K519" s="60">
        <v>3.2</v>
      </c>
      <c r="L519" s="63"/>
    </row>
    <row r="520" spans="2:12" x14ac:dyDescent="0.2">
      <c r="B520" s="60" t="s">
        <v>728</v>
      </c>
      <c r="C520" s="54" t="s">
        <v>495</v>
      </c>
      <c r="D520" s="55"/>
      <c r="E520" s="52">
        <v>7176</v>
      </c>
      <c r="F520" s="60">
        <v>110</v>
      </c>
      <c r="G520" s="60">
        <v>35</v>
      </c>
      <c r="H520" s="60">
        <v>55</v>
      </c>
      <c r="I520" s="60">
        <v>3.8</v>
      </c>
      <c r="J520" s="60">
        <v>3</v>
      </c>
      <c r="K520" s="60">
        <v>3.2</v>
      </c>
      <c r="L520" s="63"/>
    </row>
    <row r="521" spans="2:12" x14ac:dyDescent="0.2">
      <c r="B521" s="60" t="s">
        <v>729</v>
      </c>
      <c r="C521" s="54" t="s">
        <v>495</v>
      </c>
      <c r="D521" s="55"/>
      <c r="E521" s="52">
        <v>8391</v>
      </c>
      <c r="F521" s="60">
        <v>110</v>
      </c>
      <c r="G521" s="60">
        <v>35</v>
      </c>
      <c r="H521" s="60">
        <v>55</v>
      </c>
      <c r="I521" s="60">
        <v>3.8</v>
      </c>
      <c r="J521" s="60">
        <v>3</v>
      </c>
      <c r="K521" s="60">
        <v>3.2</v>
      </c>
      <c r="L521" s="63"/>
    </row>
    <row r="522" spans="2:12" x14ac:dyDescent="0.2">
      <c r="B522" s="60" t="s">
        <v>730</v>
      </c>
      <c r="C522" s="54" t="s">
        <v>495</v>
      </c>
      <c r="D522" s="55"/>
      <c r="E522" s="52">
        <v>11309</v>
      </c>
      <c r="F522" s="60">
        <v>110</v>
      </c>
      <c r="G522" s="60">
        <v>35</v>
      </c>
      <c r="H522" s="60">
        <v>55</v>
      </c>
      <c r="I522" s="60">
        <v>3.8</v>
      </c>
      <c r="J522" s="60">
        <v>3</v>
      </c>
      <c r="K522" s="60">
        <v>3.2</v>
      </c>
      <c r="L522" s="63"/>
    </row>
    <row r="523" spans="2:12" x14ac:dyDescent="0.2">
      <c r="B523" s="60" t="s">
        <v>731</v>
      </c>
      <c r="C523" s="54" t="s">
        <v>495</v>
      </c>
      <c r="D523" s="55"/>
      <c r="E523" s="52">
        <v>12988</v>
      </c>
      <c r="F523" s="60">
        <v>110</v>
      </c>
      <c r="G523" s="60">
        <v>35</v>
      </c>
      <c r="H523" s="60">
        <v>55</v>
      </c>
      <c r="I523" s="60">
        <v>3.8</v>
      </c>
      <c r="J523" s="60">
        <v>3</v>
      </c>
      <c r="K523" s="60">
        <v>3.2</v>
      </c>
      <c r="L523" s="63"/>
    </row>
    <row r="524" spans="2:12" x14ac:dyDescent="0.2">
      <c r="B524" s="60" t="s">
        <v>732</v>
      </c>
      <c r="C524" s="54" t="s">
        <v>495</v>
      </c>
      <c r="D524" s="55"/>
      <c r="E524" s="52">
        <v>9511</v>
      </c>
      <c r="F524" s="60">
        <v>220</v>
      </c>
      <c r="G524" s="60">
        <v>35</v>
      </c>
      <c r="H524" s="60">
        <v>55</v>
      </c>
      <c r="I524" s="60">
        <v>3.8</v>
      </c>
      <c r="J524" s="60">
        <v>3</v>
      </c>
      <c r="K524" s="60">
        <v>3.2</v>
      </c>
      <c r="L524" s="63"/>
    </row>
    <row r="525" spans="2:12" x14ac:dyDescent="0.2">
      <c r="B525" s="60" t="s">
        <v>733</v>
      </c>
      <c r="C525" s="54" t="s">
        <v>495</v>
      </c>
      <c r="D525" s="55"/>
      <c r="E525" s="52">
        <v>12987</v>
      </c>
      <c r="F525" s="60">
        <v>220</v>
      </c>
      <c r="G525" s="60">
        <v>35</v>
      </c>
      <c r="H525" s="60">
        <v>55</v>
      </c>
      <c r="I525" s="60">
        <v>3.8</v>
      </c>
      <c r="J525" s="60">
        <v>3</v>
      </c>
      <c r="K525" s="60">
        <v>3.2</v>
      </c>
      <c r="L525" s="63"/>
    </row>
    <row r="526" spans="2:12" x14ac:dyDescent="0.2">
      <c r="B526" s="60" t="s">
        <v>742</v>
      </c>
      <c r="C526" s="54" t="s">
        <v>495</v>
      </c>
      <c r="D526" s="55"/>
      <c r="E526" s="52">
        <v>16522</v>
      </c>
      <c r="F526" s="60">
        <v>220</v>
      </c>
      <c r="G526" s="60">
        <v>35</v>
      </c>
      <c r="H526" s="60">
        <v>55</v>
      </c>
      <c r="I526" s="60">
        <v>3.8</v>
      </c>
      <c r="J526" s="60">
        <v>3</v>
      </c>
      <c r="K526" s="60">
        <v>3.2</v>
      </c>
      <c r="L526" s="63"/>
    </row>
    <row r="527" spans="2:12" x14ac:dyDescent="0.2">
      <c r="B527" s="60" t="s">
        <v>734</v>
      </c>
      <c r="C527" s="54" t="s">
        <v>495</v>
      </c>
      <c r="D527" s="55"/>
      <c r="E527" s="52">
        <v>16879</v>
      </c>
      <c r="F527" s="60">
        <v>220</v>
      </c>
      <c r="G527" s="60">
        <v>35</v>
      </c>
      <c r="H527" s="60">
        <v>55</v>
      </c>
      <c r="I527" s="60">
        <v>3.8</v>
      </c>
      <c r="J527" s="60">
        <v>3</v>
      </c>
      <c r="K527" s="60">
        <v>3.2</v>
      </c>
      <c r="L527" s="63"/>
    </row>
    <row r="528" spans="2:12" x14ac:dyDescent="0.2">
      <c r="B528" s="60" t="s">
        <v>743</v>
      </c>
      <c r="C528" s="54" t="s">
        <v>495</v>
      </c>
      <c r="D528" s="55"/>
      <c r="E528" s="52">
        <v>20674</v>
      </c>
      <c r="F528" s="60">
        <v>220</v>
      </c>
      <c r="G528" s="60">
        <v>35</v>
      </c>
      <c r="H528" s="60">
        <v>55</v>
      </c>
      <c r="I528" s="60">
        <v>3.8</v>
      </c>
      <c r="J528" s="60">
        <v>3</v>
      </c>
      <c r="K528" s="60">
        <v>3.2</v>
      </c>
      <c r="L528" s="63"/>
    </row>
    <row r="529" spans="1:12" x14ac:dyDescent="0.2">
      <c r="B529" s="60" t="s">
        <v>735</v>
      </c>
      <c r="C529" s="54" t="s">
        <v>495</v>
      </c>
      <c r="D529" s="55"/>
      <c r="E529" s="52">
        <v>26414</v>
      </c>
      <c r="F529" s="60">
        <v>220</v>
      </c>
      <c r="G529" s="60">
        <v>35</v>
      </c>
      <c r="H529" s="60">
        <v>55</v>
      </c>
      <c r="I529" s="60">
        <v>3.8</v>
      </c>
      <c r="J529" s="60">
        <v>3</v>
      </c>
      <c r="K529" s="60">
        <v>3.2</v>
      </c>
      <c r="L529" s="63"/>
    </row>
    <row r="530" spans="1:12" x14ac:dyDescent="0.2">
      <c r="B530" s="60" t="s">
        <v>744</v>
      </c>
      <c r="C530" s="54" t="s">
        <v>495</v>
      </c>
      <c r="D530" s="55"/>
      <c r="E530" s="52">
        <v>30056</v>
      </c>
      <c r="F530" s="60">
        <v>220</v>
      </c>
      <c r="G530" s="60">
        <v>35</v>
      </c>
      <c r="H530" s="60">
        <v>55</v>
      </c>
      <c r="I530" s="60">
        <v>3.8</v>
      </c>
      <c r="J530" s="60">
        <v>3</v>
      </c>
      <c r="K530" s="60">
        <v>3.2</v>
      </c>
      <c r="L530" s="63"/>
    </row>
    <row r="531" spans="1:12" x14ac:dyDescent="0.2">
      <c r="B531" s="60" t="s">
        <v>736</v>
      </c>
      <c r="C531" s="54" t="s">
        <v>495</v>
      </c>
      <c r="D531" s="55"/>
      <c r="E531" s="52">
        <v>9454</v>
      </c>
      <c r="F531" s="60">
        <v>220</v>
      </c>
      <c r="G531" s="60">
        <v>35</v>
      </c>
      <c r="H531" s="60">
        <v>55</v>
      </c>
      <c r="I531" s="60">
        <v>3.8</v>
      </c>
      <c r="J531" s="60">
        <v>3</v>
      </c>
      <c r="K531" s="60">
        <v>3.2</v>
      </c>
      <c r="L531" s="63"/>
    </row>
    <row r="532" spans="1:12" x14ac:dyDescent="0.2">
      <c r="B532" s="60" t="s">
        <v>737</v>
      </c>
      <c r="C532" s="54" t="s">
        <v>495</v>
      </c>
      <c r="D532" s="55"/>
      <c r="E532" s="52">
        <v>10602</v>
      </c>
      <c r="F532" s="60">
        <v>220</v>
      </c>
      <c r="G532" s="60">
        <v>35</v>
      </c>
      <c r="H532" s="60">
        <v>55</v>
      </c>
      <c r="I532" s="60">
        <v>3.8</v>
      </c>
      <c r="J532" s="60">
        <v>3</v>
      </c>
      <c r="K532" s="60">
        <v>3.2</v>
      </c>
      <c r="L532" s="63"/>
    </row>
    <row r="533" spans="1:12" x14ac:dyDescent="0.2">
      <c r="B533" s="60" t="s">
        <v>738</v>
      </c>
      <c r="C533" s="54" t="s">
        <v>495</v>
      </c>
      <c r="D533" s="55"/>
      <c r="E533" s="52">
        <v>14400</v>
      </c>
      <c r="F533" s="60">
        <v>220</v>
      </c>
      <c r="G533" s="60">
        <v>35</v>
      </c>
      <c r="H533" s="60">
        <v>55</v>
      </c>
      <c r="I533" s="60">
        <v>3.8</v>
      </c>
      <c r="J533" s="60">
        <v>3</v>
      </c>
      <c r="K533" s="60">
        <v>3.2</v>
      </c>
      <c r="L533" s="63"/>
    </row>
    <row r="534" spans="1:12" x14ac:dyDescent="0.2">
      <c r="B534" s="60" t="s">
        <v>739</v>
      </c>
      <c r="C534" s="54" t="s">
        <v>495</v>
      </c>
      <c r="D534" s="55"/>
      <c r="E534" s="52">
        <v>20040</v>
      </c>
      <c r="F534" s="60">
        <v>220</v>
      </c>
      <c r="G534" s="60">
        <v>35</v>
      </c>
      <c r="H534" s="60">
        <v>55</v>
      </c>
      <c r="I534" s="60">
        <v>3.8</v>
      </c>
      <c r="J534" s="60">
        <v>3</v>
      </c>
      <c r="K534" s="60">
        <v>3.2</v>
      </c>
      <c r="L534" s="63"/>
    </row>
    <row r="535" spans="1:12" x14ac:dyDescent="0.2">
      <c r="B535" s="60" t="s">
        <v>740</v>
      </c>
      <c r="C535" s="54" t="s">
        <v>495</v>
      </c>
      <c r="D535" s="55"/>
      <c r="E535" s="52">
        <v>28096</v>
      </c>
      <c r="F535" s="60">
        <v>220</v>
      </c>
      <c r="G535" s="60">
        <v>35</v>
      </c>
      <c r="H535" s="60">
        <v>55</v>
      </c>
      <c r="I535" s="60">
        <v>3.8</v>
      </c>
      <c r="J535" s="60">
        <v>3</v>
      </c>
      <c r="K535" s="60">
        <v>3.2</v>
      </c>
      <c r="L535" s="63"/>
    </row>
    <row r="536" spans="1:12" x14ac:dyDescent="0.2">
      <c r="B536" s="60" t="s">
        <v>741</v>
      </c>
      <c r="C536" s="54" t="s">
        <v>495</v>
      </c>
      <c r="D536" s="55"/>
      <c r="E536" s="52">
        <v>29333</v>
      </c>
      <c r="F536" s="60">
        <v>220</v>
      </c>
      <c r="G536" s="60">
        <v>35</v>
      </c>
      <c r="H536" s="60">
        <v>55</v>
      </c>
      <c r="I536" s="60">
        <v>3.8</v>
      </c>
      <c r="J536" s="60">
        <v>3</v>
      </c>
      <c r="K536" s="60">
        <v>3.2</v>
      </c>
      <c r="L536" s="63"/>
    </row>
    <row r="537" spans="1:12" x14ac:dyDescent="0.2">
      <c r="A537" s="60">
        <v>20</v>
      </c>
      <c r="B537" s="60" t="s">
        <v>745</v>
      </c>
      <c r="C537" s="54" t="s">
        <v>496</v>
      </c>
      <c r="D537" s="55"/>
      <c r="E537" s="52">
        <v>4910</v>
      </c>
      <c r="F537" s="60">
        <v>10</v>
      </c>
      <c r="G537" s="60">
        <v>33</v>
      </c>
      <c r="H537" s="60">
        <v>55</v>
      </c>
      <c r="I537" s="60">
        <v>3.8</v>
      </c>
      <c r="J537" s="60">
        <v>4</v>
      </c>
      <c r="K537" s="60">
        <v>4.2</v>
      </c>
      <c r="L537" s="63"/>
    </row>
    <row r="538" spans="1:12" x14ac:dyDescent="0.2">
      <c r="B538" s="60" t="s">
        <v>746</v>
      </c>
      <c r="C538" s="54" t="s">
        <v>496</v>
      </c>
      <c r="D538" s="55"/>
      <c r="E538" s="52">
        <v>5750</v>
      </c>
      <c r="F538" s="60">
        <v>10</v>
      </c>
      <c r="G538" s="60">
        <v>33</v>
      </c>
      <c r="H538" s="60">
        <v>55</v>
      </c>
      <c r="I538" s="60">
        <v>3.8</v>
      </c>
      <c r="J538" s="60">
        <v>4</v>
      </c>
      <c r="K538" s="60">
        <v>4.2</v>
      </c>
      <c r="L538" s="63"/>
    </row>
    <row r="539" spans="1:12" x14ac:dyDescent="0.2">
      <c r="B539" s="60" t="s">
        <v>747</v>
      </c>
      <c r="C539" s="54" t="s">
        <v>496</v>
      </c>
      <c r="D539" s="55"/>
      <c r="E539" s="52">
        <v>6180</v>
      </c>
      <c r="F539" s="60">
        <v>10</v>
      </c>
      <c r="G539" s="60">
        <v>33</v>
      </c>
      <c r="H539" s="60">
        <v>55</v>
      </c>
      <c r="I539" s="60">
        <v>3.8</v>
      </c>
      <c r="J539" s="60">
        <v>4</v>
      </c>
      <c r="K539" s="60">
        <v>4.2</v>
      </c>
      <c r="L539" s="63"/>
    </row>
    <row r="540" spans="1:12" x14ac:dyDescent="0.2">
      <c r="B540" s="60" t="s">
        <v>748</v>
      </c>
      <c r="C540" s="54" t="s">
        <v>496</v>
      </c>
      <c r="D540" s="55"/>
      <c r="E540" s="52">
        <v>7220</v>
      </c>
      <c r="F540" s="60">
        <v>10</v>
      </c>
      <c r="G540" s="60">
        <v>33</v>
      </c>
      <c r="H540" s="60">
        <v>55</v>
      </c>
      <c r="I540" s="60">
        <v>3.8</v>
      </c>
      <c r="J540" s="60">
        <v>4</v>
      </c>
      <c r="K540" s="60">
        <v>4.2</v>
      </c>
      <c r="L540" s="63"/>
    </row>
    <row r="541" spans="1:12" x14ac:dyDescent="0.2">
      <c r="B541" s="60" t="s">
        <v>749</v>
      </c>
      <c r="C541" s="54" t="s">
        <v>496</v>
      </c>
      <c r="D541" s="55"/>
      <c r="E541" s="52">
        <v>7510</v>
      </c>
      <c r="F541" s="60">
        <v>35</v>
      </c>
      <c r="G541" s="60">
        <v>33</v>
      </c>
      <c r="H541" s="60">
        <v>55</v>
      </c>
      <c r="I541" s="60">
        <v>3.8</v>
      </c>
      <c r="J541" s="60">
        <v>4</v>
      </c>
      <c r="K541" s="60">
        <v>4.2</v>
      </c>
      <c r="L541" s="63"/>
    </row>
    <row r="542" spans="1:12" x14ac:dyDescent="0.2">
      <c r="D542" s="55"/>
      <c r="L542" s="63"/>
    </row>
    <row r="543" spans="1:12" x14ac:dyDescent="0.2">
      <c r="A543" s="60">
        <v>21</v>
      </c>
      <c r="B543" s="47" t="s">
        <v>309</v>
      </c>
      <c r="D543" s="55"/>
      <c r="L543" s="63"/>
    </row>
    <row r="544" spans="1:12" x14ac:dyDescent="0.2">
      <c r="B544" s="60" t="s">
        <v>753</v>
      </c>
      <c r="C544" s="54" t="s">
        <v>497</v>
      </c>
      <c r="D544" s="55"/>
      <c r="E544" s="52">
        <v>23750</v>
      </c>
      <c r="F544" s="60">
        <v>10</v>
      </c>
      <c r="G544" s="60">
        <v>33</v>
      </c>
      <c r="H544" s="60">
        <v>55</v>
      </c>
      <c r="I544" s="60">
        <v>3.8</v>
      </c>
      <c r="J544" s="60">
        <v>4</v>
      </c>
      <c r="K544" s="60">
        <v>4.2</v>
      </c>
      <c r="L544" s="63"/>
    </row>
    <row r="545" spans="2:12" x14ac:dyDescent="0.2">
      <c r="B545" s="60" t="s">
        <v>752</v>
      </c>
      <c r="C545" s="54" t="s">
        <v>497</v>
      </c>
      <c r="D545" s="55"/>
      <c r="E545" s="52">
        <v>26900</v>
      </c>
      <c r="F545" s="60">
        <v>10</v>
      </c>
      <c r="G545" s="60">
        <v>33</v>
      </c>
      <c r="H545" s="60">
        <v>55</v>
      </c>
      <c r="I545" s="60">
        <v>3.8</v>
      </c>
      <c r="J545" s="60">
        <v>4</v>
      </c>
      <c r="K545" s="60">
        <v>4.2</v>
      </c>
      <c r="L545" s="63"/>
    </row>
    <row r="546" spans="2:12" x14ac:dyDescent="0.2">
      <c r="B546" s="60" t="s">
        <v>751</v>
      </c>
      <c r="C546" s="54" t="s">
        <v>497</v>
      </c>
      <c r="D546" s="55"/>
      <c r="E546" s="52">
        <v>45320</v>
      </c>
      <c r="F546" s="60">
        <v>10</v>
      </c>
      <c r="G546" s="60">
        <v>33</v>
      </c>
      <c r="H546" s="60">
        <v>55</v>
      </c>
      <c r="I546" s="60">
        <v>3.8</v>
      </c>
      <c r="J546" s="60">
        <v>4</v>
      </c>
      <c r="K546" s="60">
        <v>4.2</v>
      </c>
      <c r="L546" s="63"/>
    </row>
    <row r="547" spans="2:12" x14ac:dyDescent="0.2">
      <c r="B547" s="60" t="s">
        <v>750</v>
      </c>
      <c r="C547" s="54" t="s">
        <v>497</v>
      </c>
      <c r="D547" s="55"/>
      <c r="E547" s="52">
        <v>51016</v>
      </c>
      <c r="F547" s="60">
        <v>10</v>
      </c>
      <c r="G547" s="60">
        <v>33</v>
      </c>
      <c r="H547" s="60">
        <v>55</v>
      </c>
      <c r="I547" s="60">
        <v>3.8</v>
      </c>
      <c r="J547" s="60">
        <v>4</v>
      </c>
      <c r="K547" s="60">
        <v>4.2</v>
      </c>
      <c r="L547" s="63"/>
    </row>
    <row r="548" spans="2:12" x14ac:dyDescent="0.2">
      <c r="B548" s="60" t="s">
        <v>754</v>
      </c>
      <c r="C548" s="54" t="s">
        <v>497</v>
      </c>
      <c r="D548" s="55"/>
      <c r="E548" s="52">
        <v>18130</v>
      </c>
      <c r="F548" s="60">
        <v>20</v>
      </c>
      <c r="G548" s="60">
        <v>33</v>
      </c>
      <c r="H548" s="60">
        <v>55</v>
      </c>
      <c r="I548" s="60">
        <v>3.8</v>
      </c>
      <c r="J548" s="60">
        <v>4</v>
      </c>
      <c r="K548" s="60">
        <v>4.2</v>
      </c>
      <c r="L548" s="63"/>
    </row>
    <row r="549" spans="2:12" x14ac:dyDescent="0.2">
      <c r="B549" s="60" t="s">
        <v>755</v>
      </c>
      <c r="C549" s="54" t="s">
        <v>497</v>
      </c>
      <c r="D549" s="55"/>
      <c r="E549" s="52">
        <v>34260</v>
      </c>
      <c r="F549" s="60">
        <v>20</v>
      </c>
      <c r="G549" s="60">
        <v>33</v>
      </c>
      <c r="H549" s="60">
        <v>55</v>
      </c>
      <c r="I549" s="60">
        <v>3.8</v>
      </c>
      <c r="J549" s="60">
        <v>4</v>
      </c>
      <c r="K549" s="60">
        <v>4.2</v>
      </c>
      <c r="L549" s="63"/>
    </row>
    <row r="550" spans="2:12" x14ac:dyDescent="0.2">
      <c r="B550" s="60" t="s">
        <v>756</v>
      </c>
      <c r="C550" s="54" t="s">
        <v>497</v>
      </c>
      <c r="D550" s="55"/>
      <c r="E550" s="52">
        <v>18010</v>
      </c>
      <c r="F550" s="60">
        <v>10</v>
      </c>
      <c r="G550" s="60">
        <v>33</v>
      </c>
      <c r="H550" s="60">
        <v>55</v>
      </c>
      <c r="I550" s="60">
        <v>3.8</v>
      </c>
      <c r="J550" s="60">
        <v>4</v>
      </c>
      <c r="K550" s="60">
        <v>4.2</v>
      </c>
      <c r="L550" s="63"/>
    </row>
    <row r="551" spans="2:12" x14ac:dyDescent="0.2">
      <c r="B551" s="60" t="s">
        <v>757</v>
      </c>
      <c r="C551" s="54" t="s">
        <v>497</v>
      </c>
      <c r="D551" s="55"/>
      <c r="E551" s="52">
        <v>34260</v>
      </c>
      <c r="F551" s="60">
        <v>10</v>
      </c>
      <c r="G551" s="60">
        <v>33</v>
      </c>
      <c r="H551" s="60">
        <v>55</v>
      </c>
      <c r="I551" s="60">
        <v>3.8</v>
      </c>
      <c r="J551" s="60">
        <v>4</v>
      </c>
      <c r="K551" s="60">
        <v>4.2</v>
      </c>
      <c r="L551" s="63"/>
    </row>
    <row r="552" spans="2:12" x14ac:dyDescent="0.2">
      <c r="B552" s="60" t="s">
        <v>758</v>
      </c>
      <c r="C552" s="54" t="s">
        <v>497</v>
      </c>
      <c r="D552" s="55"/>
      <c r="E552" s="52">
        <v>37500</v>
      </c>
      <c r="F552" s="60">
        <v>10</v>
      </c>
      <c r="G552" s="60">
        <v>33</v>
      </c>
      <c r="H552" s="60">
        <v>55</v>
      </c>
      <c r="I552" s="60">
        <v>3.8</v>
      </c>
      <c r="J552" s="60">
        <v>4</v>
      </c>
      <c r="K552" s="60">
        <v>4.2</v>
      </c>
      <c r="L552" s="63"/>
    </row>
    <row r="553" spans="2:12" x14ac:dyDescent="0.2">
      <c r="B553" s="60" t="s">
        <v>759</v>
      </c>
      <c r="C553" s="54" t="s">
        <v>497</v>
      </c>
      <c r="D553" s="55"/>
      <c r="E553" s="52">
        <v>47000</v>
      </c>
      <c r="F553" s="60">
        <v>10</v>
      </c>
      <c r="G553" s="60">
        <v>33</v>
      </c>
      <c r="H553" s="60">
        <v>55</v>
      </c>
      <c r="I553" s="60">
        <v>3.8</v>
      </c>
      <c r="J553" s="60">
        <v>4</v>
      </c>
      <c r="K553" s="60">
        <v>4.2</v>
      </c>
      <c r="L553" s="63"/>
    </row>
    <row r="554" spans="2:12" x14ac:dyDescent="0.2">
      <c r="B554" s="60" t="s">
        <v>760</v>
      </c>
      <c r="C554" s="54" t="s">
        <v>497</v>
      </c>
      <c r="D554" s="55"/>
      <c r="E554" s="52">
        <v>73750</v>
      </c>
      <c r="F554" s="60">
        <v>10</v>
      </c>
      <c r="G554" s="60">
        <v>33</v>
      </c>
      <c r="H554" s="60">
        <v>55</v>
      </c>
      <c r="I554" s="60">
        <v>3.8</v>
      </c>
      <c r="J554" s="60">
        <v>4</v>
      </c>
      <c r="K554" s="60">
        <v>4.2</v>
      </c>
      <c r="L554" s="63"/>
    </row>
    <row r="555" spans="2:12" x14ac:dyDescent="0.2">
      <c r="B555" s="60" t="s">
        <v>761</v>
      </c>
      <c r="C555" s="54" t="s">
        <v>497</v>
      </c>
      <c r="D555" s="55"/>
      <c r="E555" s="52">
        <v>83000</v>
      </c>
      <c r="F555" s="60">
        <v>10</v>
      </c>
      <c r="G555" s="60">
        <v>33</v>
      </c>
      <c r="H555" s="60">
        <v>55</v>
      </c>
      <c r="I555" s="60">
        <v>3.8</v>
      </c>
      <c r="J555" s="60">
        <v>4</v>
      </c>
      <c r="K555" s="60">
        <v>4.2</v>
      </c>
      <c r="L555" s="63"/>
    </row>
    <row r="556" spans="2:12" x14ac:dyDescent="0.2">
      <c r="B556" s="60" t="s">
        <v>762</v>
      </c>
      <c r="C556" s="54" t="s">
        <v>497</v>
      </c>
      <c r="D556" s="55"/>
      <c r="E556" s="52">
        <v>24000</v>
      </c>
      <c r="F556" s="60">
        <v>20</v>
      </c>
      <c r="G556" s="60">
        <v>33</v>
      </c>
      <c r="H556" s="60">
        <v>55</v>
      </c>
      <c r="I556" s="60">
        <v>3.8</v>
      </c>
      <c r="J556" s="60">
        <v>4</v>
      </c>
      <c r="K556" s="60">
        <v>4.2</v>
      </c>
      <c r="L556" s="63"/>
    </row>
    <row r="557" spans="2:12" x14ac:dyDescent="0.2">
      <c r="B557" s="60" t="s">
        <v>763</v>
      </c>
      <c r="C557" s="54" t="s">
        <v>497</v>
      </c>
      <c r="D557" s="55"/>
      <c r="E557" s="52">
        <v>48000</v>
      </c>
      <c r="F557" s="60">
        <v>20</v>
      </c>
      <c r="G557" s="60">
        <v>33</v>
      </c>
      <c r="H557" s="60">
        <v>55</v>
      </c>
      <c r="I557" s="60">
        <v>3.8</v>
      </c>
      <c r="J557" s="60">
        <v>4</v>
      </c>
      <c r="K557" s="60">
        <v>4.2</v>
      </c>
      <c r="L557" s="63"/>
    </row>
    <row r="558" spans="2:12" x14ac:dyDescent="0.2">
      <c r="B558" s="60" t="s">
        <v>764</v>
      </c>
      <c r="C558" s="54" t="s">
        <v>497</v>
      </c>
      <c r="D558" s="55"/>
      <c r="E558" s="52">
        <v>24000</v>
      </c>
      <c r="F558" s="60">
        <v>10</v>
      </c>
      <c r="G558" s="60">
        <v>33</v>
      </c>
      <c r="H558" s="60">
        <v>55</v>
      </c>
      <c r="I558" s="60">
        <v>3.8</v>
      </c>
      <c r="J558" s="60">
        <v>4</v>
      </c>
      <c r="K558" s="60">
        <v>4.2</v>
      </c>
      <c r="L558" s="63"/>
    </row>
    <row r="559" spans="2:12" x14ac:dyDescent="0.2">
      <c r="B559" s="60" t="s">
        <v>765</v>
      </c>
      <c r="C559" s="54" t="s">
        <v>497</v>
      </c>
      <c r="D559" s="55"/>
      <c r="E559" s="52">
        <v>48000</v>
      </c>
      <c r="F559" s="60">
        <v>10</v>
      </c>
      <c r="G559" s="60">
        <v>33</v>
      </c>
      <c r="H559" s="60">
        <v>55</v>
      </c>
      <c r="I559" s="60">
        <v>3.8</v>
      </c>
      <c r="J559" s="60">
        <v>4</v>
      </c>
      <c r="K559" s="60">
        <v>4.2</v>
      </c>
      <c r="L559" s="63"/>
    </row>
    <row r="560" spans="2:12" x14ac:dyDescent="0.2">
      <c r="D560" s="55"/>
      <c r="L560" s="63"/>
    </row>
    <row r="561" spans="1:12" x14ac:dyDescent="0.2">
      <c r="A561" s="60">
        <v>22</v>
      </c>
      <c r="B561" s="47" t="s">
        <v>769</v>
      </c>
      <c r="D561" s="55"/>
      <c r="L561" s="63"/>
    </row>
    <row r="562" spans="1:12" x14ac:dyDescent="0.2">
      <c r="B562" s="60" t="s">
        <v>766</v>
      </c>
      <c r="C562" s="54" t="s">
        <v>771</v>
      </c>
      <c r="D562" s="55"/>
      <c r="E562" s="52">
        <v>10110</v>
      </c>
      <c r="F562" s="52">
        <v>110</v>
      </c>
      <c r="G562" s="60">
        <v>35</v>
      </c>
      <c r="H562" s="60">
        <v>55</v>
      </c>
      <c r="I562" s="60">
        <v>3.8</v>
      </c>
      <c r="J562" s="60">
        <v>3</v>
      </c>
      <c r="K562" s="60">
        <v>3.2</v>
      </c>
      <c r="L562" s="63"/>
    </row>
    <row r="563" spans="1:12" x14ac:dyDescent="0.2">
      <c r="B563" s="60" t="s">
        <v>767</v>
      </c>
      <c r="C563" s="54" t="s">
        <v>771</v>
      </c>
      <c r="D563" s="55"/>
      <c r="E563" s="52">
        <v>18970</v>
      </c>
      <c r="F563" s="52">
        <v>220</v>
      </c>
      <c r="G563" s="60">
        <v>35</v>
      </c>
      <c r="H563" s="60">
        <v>55</v>
      </c>
      <c r="I563" s="60">
        <v>3.8</v>
      </c>
      <c r="J563" s="60">
        <v>3</v>
      </c>
      <c r="K563" s="60">
        <v>3.2</v>
      </c>
      <c r="L563" s="63"/>
    </row>
    <row r="564" spans="1:12" x14ac:dyDescent="0.2">
      <c r="B564" s="60" t="s">
        <v>768</v>
      </c>
      <c r="C564" s="54" t="s">
        <v>771</v>
      </c>
      <c r="D564" s="55"/>
      <c r="E564" s="52">
        <v>29690</v>
      </c>
      <c r="F564" s="52">
        <v>220</v>
      </c>
      <c r="G564" s="60">
        <v>35</v>
      </c>
      <c r="H564" s="60">
        <v>55</v>
      </c>
      <c r="I564" s="60">
        <v>3.8</v>
      </c>
      <c r="J564" s="60">
        <v>3</v>
      </c>
      <c r="K564" s="60">
        <v>3.2</v>
      </c>
      <c r="L564" s="63"/>
    </row>
    <row r="565" spans="1:12" x14ac:dyDescent="0.2">
      <c r="A565" s="60">
        <v>24</v>
      </c>
      <c r="B565" s="60" t="s">
        <v>793</v>
      </c>
      <c r="C565" s="54" t="s">
        <v>792</v>
      </c>
      <c r="D565" s="55"/>
      <c r="E565" s="52">
        <v>1300</v>
      </c>
      <c r="F565" s="52">
        <v>10</v>
      </c>
      <c r="G565" s="60">
        <v>33</v>
      </c>
      <c r="H565" s="60">
        <v>55</v>
      </c>
      <c r="I565" s="60">
        <v>3.8</v>
      </c>
      <c r="J565" s="60">
        <v>4</v>
      </c>
      <c r="K565" s="60">
        <v>4.2</v>
      </c>
      <c r="L565" s="63"/>
    </row>
    <row r="566" spans="1:12" x14ac:dyDescent="0.2">
      <c r="B566" s="60" t="s">
        <v>794</v>
      </c>
      <c r="C566" s="54" t="s">
        <v>792</v>
      </c>
      <c r="D566" s="55"/>
      <c r="E566" s="52">
        <v>3600</v>
      </c>
      <c r="F566" s="52">
        <v>35</v>
      </c>
      <c r="G566" s="60">
        <v>33</v>
      </c>
      <c r="H566" s="60">
        <v>55</v>
      </c>
      <c r="I566" s="60">
        <v>3.8</v>
      </c>
      <c r="J566" s="60">
        <v>4</v>
      </c>
      <c r="K566" s="60">
        <v>4.2</v>
      </c>
      <c r="L566" s="63"/>
    </row>
    <row r="567" spans="1:12" x14ac:dyDescent="0.2">
      <c r="B567" s="60" t="s">
        <v>795</v>
      </c>
      <c r="C567" s="54" t="s">
        <v>792</v>
      </c>
      <c r="D567" s="55"/>
      <c r="E567" s="52">
        <v>9500</v>
      </c>
      <c r="F567" s="52">
        <v>110</v>
      </c>
      <c r="G567" s="60">
        <v>35</v>
      </c>
      <c r="H567" s="60">
        <v>55</v>
      </c>
      <c r="I567" s="60">
        <v>3.8</v>
      </c>
      <c r="J567" s="60">
        <v>3</v>
      </c>
      <c r="K567" s="60">
        <v>3.2</v>
      </c>
      <c r="L567" s="63"/>
    </row>
    <row r="568" spans="1:12" x14ac:dyDescent="0.2">
      <c r="A568" s="60">
        <v>23</v>
      </c>
      <c r="B568" s="60" t="s">
        <v>770</v>
      </c>
      <c r="C568" s="54" t="s">
        <v>772</v>
      </c>
      <c r="D568" s="55"/>
      <c r="E568" s="52">
        <v>475</v>
      </c>
      <c r="F568" s="52">
        <v>6</v>
      </c>
      <c r="G568" s="60">
        <v>33</v>
      </c>
      <c r="H568" s="60">
        <v>55</v>
      </c>
      <c r="I568" s="60">
        <v>3.8</v>
      </c>
      <c r="J568" s="60">
        <v>4</v>
      </c>
      <c r="K568" s="60">
        <v>4.2</v>
      </c>
      <c r="L568" s="63"/>
    </row>
    <row r="569" spans="1:12" x14ac:dyDescent="0.2">
      <c r="B569" s="60" t="s">
        <v>791</v>
      </c>
      <c r="C569" s="54" t="s">
        <v>772</v>
      </c>
      <c r="D569" s="55"/>
      <c r="E569" s="52">
        <v>850</v>
      </c>
      <c r="F569" s="52">
        <v>6</v>
      </c>
      <c r="G569" s="60">
        <v>33</v>
      </c>
      <c r="H569" s="60">
        <v>55</v>
      </c>
      <c r="I569" s="60">
        <v>3.8</v>
      </c>
      <c r="J569" s="60">
        <v>4</v>
      </c>
      <c r="K569" s="60">
        <v>4.2</v>
      </c>
      <c r="L569" s="63"/>
    </row>
    <row r="570" spans="1:12" x14ac:dyDescent="0.2">
      <c r="B570" s="60" t="s">
        <v>773</v>
      </c>
      <c r="C570" s="54" t="s">
        <v>772</v>
      </c>
      <c r="D570" s="55"/>
      <c r="E570" s="52">
        <v>1475</v>
      </c>
      <c r="F570" s="52">
        <v>6</v>
      </c>
      <c r="G570" s="60">
        <v>33</v>
      </c>
      <c r="H570" s="60">
        <v>55</v>
      </c>
      <c r="I570" s="60">
        <v>3.8</v>
      </c>
      <c r="J570" s="60">
        <v>4</v>
      </c>
      <c r="K570" s="60">
        <v>4.2</v>
      </c>
      <c r="L570" s="63"/>
    </row>
    <row r="571" spans="1:12" x14ac:dyDescent="0.2">
      <c r="B571" s="60" t="s">
        <v>790</v>
      </c>
      <c r="C571" s="54" t="s">
        <v>772</v>
      </c>
      <c r="D571" s="55"/>
      <c r="E571" s="52">
        <v>1675</v>
      </c>
      <c r="F571" s="52">
        <v>6</v>
      </c>
      <c r="G571" s="60">
        <v>33</v>
      </c>
      <c r="H571" s="60">
        <v>55</v>
      </c>
      <c r="I571" s="60">
        <v>3.8</v>
      </c>
      <c r="J571" s="60">
        <v>4</v>
      </c>
      <c r="K571" s="60">
        <v>4.2</v>
      </c>
      <c r="L571" s="63"/>
    </row>
    <row r="572" spans="1:12" x14ac:dyDescent="0.2">
      <c r="B572" s="60" t="s">
        <v>774</v>
      </c>
      <c r="C572" s="54" t="s">
        <v>772</v>
      </c>
      <c r="D572" s="55"/>
      <c r="E572" s="52">
        <v>2450</v>
      </c>
      <c r="F572" s="52">
        <v>6</v>
      </c>
      <c r="G572" s="60">
        <v>33</v>
      </c>
      <c r="H572" s="60">
        <v>55</v>
      </c>
      <c r="I572" s="60">
        <v>3.8</v>
      </c>
      <c r="J572" s="60">
        <v>4</v>
      </c>
      <c r="K572" s="60">
        <v>4.2</v>
      </c>
      <c r="L572" s="63"/>
    </row>
    <row r="573" spans="1:12" x14ac:dyDescent="0.2">
      <c r="B573" s="60" t="s">
        <v>775</v>
      </c>
      <c r="C573" s="54" t="s">
        <v>772</v>
      </c>
      <c r="D573" s="55"/>
      <c r="E573" s="52">
        <v>375</v>
      </c>
      <c r="F573" s="52">
        <v>10</v>
      </c>
      <c r="G573" s="60">
        <v>33</v>
      </c>
      <c r="H573" s="60">
        <v>55</v>
      </c>
      <c r="I573" s="60">
        <v>3.8</v>
      </c>
      <c r="J573" s="60">
        <v>4</v>
      </c>
      <c r="K573" s="60">
        <v>4.2</v>
      </c>
      <c r="L573" s="63"/>
    </row>
    <row r="574" spans="1:12" x14ac:dyDescent="0.2">
      <c r="B574" s="60" t="s">
        <v>776</v>
      </c>
      <c r="C574" s="54" t="s">
        <v>772</v>
      </c>
      <c r="D574" s="55"/>
      <c r="E574" s="52">
        <v>750</v>
      </c>
      <c r="F574" s="52">
        <v>10</v>
      </c>
      <c r="G574" s="60">
        <v>33</v>
      </c>
      <c r="H574" s="60">
        <v>55</v>
      </c>
      <c r="I574" s="60">
        <v>3.8</v>
      </c>
      <c r="J574" s="60">
        <v>4</v>
      </c>
      <c r="K574" s="60">
        <v>4.2</v>
      </c>
      <c r="L574" s="63"/>
    </row>
    <row r="575" spans="1:12" x14ac:dyDescent="0.2">
      <c r="B575" s="60" t="s">
        <v>777</v>
      </c>
      <c r="C575" s="54" t="s">
        <v>772</v>
      </c>
      <c r="D575" s="55"/>
      <c r="E575" s="52">
        <v>1125</v>
      </c>
      <c r="F575" s="52">
        <v>10</v>
      </c>
      <c r="G575" s="60">
        <v>33</v>
      </c>
      <c r="H575" s="60">
        <v>55</v>
      </c>
      <c r="I575" s="60">
        <v>3.8</v>
      </c>
      <c r="J575" s="60">
        <v>4</v>
      </c>
      <c r="K575" s="60">
        <v>4.2</v>
      </c>
      <c r="L575" s="63"/>
    </row>
    <row r="576" spans="1:12" x14ac:dyDescent="0.2">
      <c r="B576" s="60" t="s">
        <v>789</v>
      </c>
      <c r="C576" s="54" t="s">
        <v>772</v>
      </c>
      <c r="D576" s="55"/>
      <c r="E576" s="52">
        <v>1550</v>
      </c>
      <c r="F576" s="52">
        <v>10</v>
      </c>
      <c r="G576" s="60">
        <v>33</v>
      </c>
      <c r="H576" s="60">
        <v>55</v>
      </c>
      <c r="I576" s="60">
        <v>3.8</v>
      </c>
      <c r="J576" s="60">
        <v>4</v>
      </c>
      <c r="K576" s="60">
        <v>4.2</v>
      </c>
      <c r="L576" s="63"/>
    </row>
    <row r="577" spans="1:12" x14ac:dyDescent="0.2">
      <c r="B577" s="60" t="s">
        <v>778</v>
      </c>
      <c r="C577" s="54" t="s">
        <v>772</v>
      </c>
      <c r="D577" s="55"/>
      <c r="E577" s="52">
        <v>1925</v>
      </c>
      <c r="F577" s="52">
        <v>10</v>
      </c>
      <c r="G577" s="60">
        <v>33</v>
      </c>
      <c r="H577" s="60">
        <v>55</v>
      </c>
      <c r="I577" s="60">
        <v>3.8</v>
      </c>
      <c r="J577" s="60">
        <v>4</v>
      </c>
      <c r="K577" s="60">
        <v>4.2</v>
      </c>
      <c r="L577" s="63"/>
    </row>
    <row r="578" spans="1:12" x14ac:dyDescent="0.2">
      <c r="B578" s="60" t="s">
        <v>779</v>
      </c>
      <c r="C578" s="54" t="s">
        <v>772</v>
      </c>
      <c r="D578" s="55"/>
      <c r="E578" s="52">
        <v>2250</v>
      </c>
      <c r="F578" s="52">
        <v>10</v>
      </c>
      <c r="G578" s="60">
        <v>33</v>
      </c>
      <c r="H578" s="60">
        <v>55</v>
      </c>
      <c r="I578" s="60">
        <v>3.8</v>
      </c>
      <c r="J578" s="60">
        <v>4</v>
      </c>
      <c r="K578" s="60">
        <v>4.2</v>
      </c>
      <c r="L578" s="63"/>
    </row>
    <row r="579" spans="1:12" x14ac:dyDescent="0.2">
      <c r="B579" s="60" t="s">
        <v>788</v>
      </c>
      <c r="C579" s="54" t="s">
        <v>772</v>
      </c>
      <c r="D579" s="55"/>
      <c r="E579" s="52">
        <v>3100</v>
      </c>
      <c r="F579" s="52">
        <v>10</v>
      </c>
      <c r="G579" s="60">
        <v>33</v>
      </c>
      <c r="H579" s="60">
        <v>55</v>
      </c>
      <c r="I579" s="60">
        <v>3.8</v>
      </c>
      <c r="J579" s="60">
        <v>4</v>
      </c>
      <c r="K579" s="60">
        <v>4.2</v>
      </c>
      <c r="L579" s="63"/>
    </row>
    <row r="580" spans="1:12" x14ac:dyDescent="0.2">
      <c r="B580" s="60" t="s">
        <v>780</v>
      </c>
      <c r="C580" s="54" t="s">
        <v>772</v>
      </c>
      <c r="D580" s="55"/>
      <c r="E580" s="52">
        <v>3750</v>
      </c>
      <c r="F580" s="52">
        <v>10</v>
      </c>
      <c r="G580" s="60">
        <v>33</v>
      </c>
      <c r="H580" s="60">
        <v>55</v>
      </c>
      <c r="I580" s="60">
        <v>3.8</v>
      </c>
      <c r="J580" s="60">
        <v>4</v>
      </c>
      <c r="K580" s="60">
        <v>4.2</v>
      </c>
      <c r="L580" s="63"/>
    </row>
    <row r="581" spans="1:12" x14ac:dyDescent="0.2">
      <c r="B581" s="60" t="s">
        <v>781</v>
      </c>
      <c r="C581" s="54" t="s">
        <v>772</v>
      </c>
      <c r="D581" s="55"/>
      <c r="E581" s="52">
        <v>2750</v>
      </c>
      <c r="F581" s="52">
        <v>35</v>
      </c>
      <c r="G581" s="60">
        <v>33</v>
      </c>
      <c r="H581" s="60">
        <v>55</v>
      </c>
      <c r="I581" s="60">
        <v>3.8</v>
      </c>
      <c r="J581" s="60">
        <v>4</v>
      </c>
      <c r="K581" s="60">
        <v>4.2</v>
      </c>
      <c r="L581" s="63"/>
    </row>
    <row r="582" spans="1:12" x14ac:dyDescent="0.2">
      <c r="B582" s="60" t="s">
        <v>782</v>
      </c>
      <c r="C582" s="54" t="s">
        <v>772</v>
      </c>
      <c r="D582" s="55"/>
      <c r="E582" s="52">
        <v>3875</v>
      </c>
      <c r="F582" s="52">
        <v>35</v>
      </c>
      <c r="G582" s="60">
        <v>33</v>
      </c>
      <c r="H582" s="60">
        <v>55</v>
      </c>
      <c r="I582" s="60">
        <v>3.8</v>
      </c>
      <c r="J582" s="60">
        <v>4</v>
      </c>
      <c r="K582" s="60">
        <v>4.2</v>
      </c>
      <c r="L582" s="63"/>
    </row>
    <row r="583" spans="1:12" x14ac:dyDescent="0.2">
      <c r="B583" s="60" t="s">
        <v>783</v>
      </c>
      <c r="C583" s="54" t="s">
        <v>772</v>
      </c>
      <c r="D583" s="55"/>
      <c r="E583" s="52">
        <v>5125</v>
      </c>
      <c r="F583" s="52">
        <v>35</v>
      </c>
      <c r="G583" s="60">
        <v>33</v>
      </c>
      <c r="H583" s="60">
        <v>55</v>
      </c>
      <c r="I583" s="60">
        <v>3.8</v>
      </c>
      <c r="J583" s="60">
        <v>4</v>
      </c>
      <c r="K583" s="60">
        <v>4.2</v>
      </c>
      <c r="L583" s="63"/>
    </row>
    <row r="584" spans="1:12" x14ac:dyDescent="0.2">
      <c r="B584" s="60" t="s">
        <v>784</v>
      </c>
      <c r="C584" s="54" t="s">
        <v>772</v>
      </c>
      <c r="D584" s="55"/>
      <c r="E584" s="52">
        <v>6000</v>
      </c>
      <c r="F584" s="52">
        <v>110</v>
      </c>
      <c r="G584" s="60">
        <v>35</v>
      </c>
      <c r="H584" s="60">
        <v>55</v>
      </c>
      <c r="I584" s="60">
        <v>3.8</v>
      </c>
      <c r="J584" s="60">
        <v>3</v>
      </c>
      <c r="K584" s="60">
        <v>3.2</v>
      </c>
      <c r="L584" s="63"/>
    </row>
    <row r="585" spans="1:12" x14ac:dyDescent="0.2">
      <c r="B585" s="60" t="s">
        <v>785</v>
      </c>
      <c r="C585" s="54" t="s">
        <v>772</v>
      </c>
      <c r="D585" s="55"/>
      <c r="E585" s="52">
        <v>11250</v>
      </c>
      <c r="F585" s="52">
        <v>110</v>
      </c>
      <c r="G585" s="60">
        <v>35</v>
      </c>
      <c r="H585" s="60">
        <v>55</v>
      </c>
      <c r="I585" s="60">
        <v>3.8</v>
      </c>
      <c r="J585" s="60">
        <v>3</v>
      </c>
      <c r="K585" s="60">
        <v>3.2</v>
      </c>
      <c r="L585" s="63"/>
    </row>
    <row r="586" spans="1:12" x14ac:dyDescent="0.2">
      <c r="B586" s="60" t="s">
        <v>786</v>
      </c>
      <c r="C586" s="54" t="s">
        <v>772</v>
      </c>
      <c r="D586" s="55"/>
      <c r="E586" s="52">
        <v>14750</v>
      </c>
      <c r="F586" s="52">
        <v>110</v>
      </c>
      <c r="G586" s="60">
        <v>35</v>
      </c>
      <c r="H586" s="60">
        <v>55</v>
      </c>
      <c r="I586" s="60">
        <v>3.8</v>
      </c>
      <c r="J586" s="60">
        <v>3</v>
      </c>
      <c r="K586" s="60">
        <v>3.2</v>
      </c>
      <c r="L586" s="63"/>
    </row>
    <row r="587" spans="1:12" x14ac:dyDescent="0.2">
      <c r="B587" s="60" t="s">
        <v>787</v>
      </c>
      <c r="C587" s="54" t="s">
        <v>772</v>
      </c>
      <c r="D587" s="55"/>
      <c r="E587" s="52">
        <v>15625</v>
      </c>
      <c r="F587" s="52">
        <v>110</v>
      </c>
      <c r="G587" s="60">
        <v>35</v>
      </c>
      <c r="H587" s="60">
        <v>55</v>
      </c>
      <c r="I587" s="60">
        <v>3.8</v>
      </c>
      <c r="J587" s="60">
        <v>3</v>
      </c>
      <c r="K587" s="60">
        <v>3.2</v>
      </c>
      <c r="L587" s="63"/>
    </row>
    <row r="588" spans="1:12" x14ac:dyDescent="0.2">
      <c r="A588" s="60">
        <v>25</v>
      </c>
      <c r="B588" s="60" t="s">
        <v>796</v>
      </c>
      <c r="C588" s="54" t="s">
        <v>800</v>
      </c>
      <c r="D588" s="55"/>
      <c r="E588" s="52">
        <v>805</v>
      </c>
      <c r="F588" s="52">
        <v>10</v>
      </c>
      <c r="G588" s="60">
        <v>33</v>
      </c>
      <c r="H588" s="60">
        <v>55</v>
      </c>
      <c r="I588" s="60">
        <v>3.8</v>
      </c>
      <c r="J588" s="60">
        <v>4</v>
      </c>
      <c r="K588" s="60">
        <v>4.2</v>
      </c>
      <c r="L588" s="63"/>
    </row>
    <row r="589" spans="1:12" x14ac:dyDescent="0.2">
      <c r="B589" s="60" t="s">
        <v>797</v>
      </c>
      <c r="C589" s="54" t="s">
        <v>800</v>
      </c>
      <c r="D589" s="55"/>
      <c r="E589" s="52">
        <v>1075</v>
      </c>
      <c r="F589" s="52">
        <v>10</v>
      </c>
      <c r="G589" s="60">
        <v>33</v>
      </c>
      <c r="H589" s="60">
        <v>55</v>
      </c>
      <c r="I589" s="60">
        <v>3.8</v>
      </c>
      <c r="J589" s="60">
        <v>4</v>
      </c>
      <c r="K589" s="60">
        <v>4.2</v>
      </c>
      <c r="L589" s="63"/>
    </row>
    <row r="590" spans="1:12" x14ac:dyDescent="0.2">
      <c r="B590" s="60" t="s">
        <v>798</v>
      </c>
      <c r="C590" s="54" t="s">
        <v>800</v>
      </c>
      <c r="D590" s="55"/>
      <c r="E590" s="52">
        <v>2170</v>
      </c>
      <c r="F590" s="52">
        <v>10</v>
      </c>
      <c r="G590" s="60">
        <v>33</v>
      </c>
      <c r="H590" s="60">
        <v>55</v>
      </c>
      <c r="I590" s="60">
        <v>3.8</v>
      </c>
      <c r="J590" s="60">
        <v>4</v>
      </c>
      <c r="K590" s="60">
        <v>4.2</v>
      </c>
      <c r="L590" s="63"/>
    </row>
    <row r="591" spans="1:12" x14ac:dyDescent="0.2">
      <c r="B591" s="60" t="s">
        <v>799</v>
      </c>
      <c r="C591" s="54" t="s">
        <v>800</v>
      </c>
      <c r="D591" s="55"/>
      <c r="E591" s="52">
        <v>5400</v>
      </c>
      <c r="F591" s="52">
        <v>10</v>
      </c>
      <c r="G591" s="60">
        <v>33</v>
      </c>
      <c r="H591" s="60">
        <v>55</v>
      </c>
      <c r="I591" s="60">
        <v>3.8</v>
      </c>
      <c r="J591" s="60">
        <v>4</v>
      </c>
      <c r="K591" s="60">
        <v>4.2</v>
      </c>
      <c r="L591" s="63"/>
    </row>
    <row r="592" spans="1:12" x14ac:dyDescent="0.2">
      <c r="A592" s="60">
        <v>27</v>
      </c>
      <c r="B592" s="60" t="s">
        <v>1220</v>
      </c>
      <c r="C592" s="54" t="s">
        <v>801</v>
      </c>
      <c r="D592" s="55"/>
      <c r="E592" s="52">
        <v>145</v>
      </c>
      <c r="F592" s="52">
        <v>10</v>
      </c>
      <c r="G592" s="60">
        <v>33</v>
      </c>
      <c r="H592" s="60">
        <v>55</v>
      </c>
      <c r="I592" s="60">
        <v>3.8</v>
      </c>
      <c r="J592" s="60">
        <v>4</v>
      </c>
      <c r="K592" s="60">
        <v>4.2</v>
      </c>
      <c r="L592" s="63"/>
    </row>
    <row r="593" spans="2:12" x14ac:dyDescent="0.2">
      <c r="B593" s="60" t="s">
        <v>1221</v>
      </c>
      <c r="C593" s="54" t="s">
        <v>801</v>
      </c>
      <c r="D593" s="55"/>
      <c r="E593" s="52">
        <v>420</v>
      </c>
      <c r="F593" s="60">
        <v>10</v>
      </c>
      <c r="G593" s="60">
        <v>33</v>
      </c>
      <c r="H593" s="60">
        <v>55</v>
      </c>
      <c r="I593" s="60">
        <v>3.8</v>
      </c>
      <c r="J593" s="60">
        <v>4</v>
      </c>
      <c r="K593" s="60">
        <v>4.2</v>
      </c>
      <c r="L593" s="63"/>
    </row>
    <row r="594" spans="2:12" x14ac:dyDescent="0.2">
      <c r="B594" s="60" t="s">
        <v>1222</v>
      </c>
      <c r="C594" s="54" t="s">
        <v>801</v>
      </c>
      <c r="D594" s="55"/>
      <c r="E594" s="52">
        <v>216</v>
      </c>
      <c r="F594" s="60">
        <v>10</v>
      </c>
      <c r="G594" s="60">
        <v>33</v>
      </c>
      <c r="H594" s="60">
        <v>55</v>
      </c>
      <c r="I594" s="60">
        <v>3.8</v>
      </c>
      <c r="J594" s="60">
        <v>4</v>
      </c>
      <c r="K594" s="60">
        <v>4.2</v>
      </c>
      <c r="L594" s="63"/>
    </row>
    <row r="595" spans="2:12" x14ac:dyDescent="0.2">
      <c r="B595" s="60" t="s">
        <v>805</v>
      </c>
      <c r="C595" s="54" t="s">
        <v>801</v>
      </c>
      <c r="D595" s="55"/>
      <c r="E595" s="52">
        <v>250</v>
      </c>
      <c r="F595" s="60">
        <v>20</v>
      </c>
      <c r="G595" s="60">
        <v>33</v>
      </c>
      <c r="H595" s="60">
        <v>55</v>
      </c>
      <c r="I595" s="60">
        <v>3.8</v>
      </c>
      <c r="J595" s="60">
        <v>4</v>
      </c>
      <c r="K595" s="60">
        <v>4.2</v>
      </c>
      <c r="L595" s="63"/>
    </row>
    <row r="596" spans="2:12" x14ac:dyDescent="0.2">
      <c r="B596" s="60" t="s">
        <v>806</v>
      </c>
      <c r="C596" s="54" t="s">
        <v>801</v>
      </c>
      <c r="D596" s="55"/>
      <c r="E596" s="52">
        <v>580</v>
      </c>
      <c r="F596" s="60">
        <v>35</v>
      </c>
      <c r="G596" s="60">
        <v>33</v>
      </c>
      <c r="H596" s="60">
        <v>55</v>
      </c>
      <c r="I596" s="60">
        <v>3.8</v>
      </c>
      <c r="J596" s="60">
        <v>4</v>
      </c>
      <c r="K596" s="60">
        <v>4.2</v>
      </c>
      <c r="L596" s="63"/>
    </row>
    <row r="597" spans="2:12" x14ac:dyDescent="0.2">
      <c r="B597" s="60" t="s">
        <v>802</v>
      </c>
      <c r="C597" s="54" t="s">
        <v>801</v>
      </c>
      <c r="D597" s="55"/>
      <c r="E597" s="52">
        <v>240</v>
      </c>
      <c r="F597" s="60">
        <v>10</v>
      </c>
      <c r="G597" s="60">
        <v>33</v>
      </c>
      <c r="H597" s="60">
        <v>55</v>
      </c>
      <c r="I597" s="60">
        <v>3.8</v>
      </c>
      <c r="J597" s="60">
        <v>4</v>
      </c>
      <c r="K597" s="60">
        <v>4.2</v>
      </c>
      <c r="L597" s="63"/>
    </row>
    <row r="598" spans="2:12" x14ac:dyDescent="0.2">
      <c r="B598" s="60" t="s">
        <v>1223</v>
      </c>
      <c r="C598" s="54" t="s">
        <v>801</v>
      </c>
      <c r="D598" s="55"/>
      <c r="E598" s="52">
        <v>590</v>
      </c>
      <c r="F598" s="60">
        <v>10</v>
      </c>
      <c r="G598" s="60">
        <v>33</v>
      </c>
      <c r="H598" s="60">
        <v>55</v>
      </c>
      <c r="I598" s="60">
        <v>3.8</v>
      </c>
      <c r="J598" s="60">
        <v>4</v>
      </c>
      <c r="K598" s="60">
        <v>4.2</v>
      </c>
      <c r="L598" s="63"/>
    </row>
    <row r="599" spans="2:12" x14ac:dyDescent="0.2">
      <c r="B599" s="60" t="s">
        <v>803</v>
      </c>
      <c r="C599" s="54" t="s">
        <v>801</v>
      </c>
      <c r="D599" s="55"/>
      <c r="E599" s="52">
        <v>290</v>
      </c>
      <c r="F599" s="60">
        <v>6</v>
      </c>
      <c r="G599" s="60">
        <v>33</v>
      </c>
      <c r="H599" s="60">
        <v>55</v>
      </c>
      <c r="I599" s="60">
        <v>3.8</v>
      </c>
      <c r="J599" s="60">
        <v>4</v>
      </c>
      <c r="K599" s="60">
        <v>4.2</v>
      </c>
      <c r="L599" s="63"/>
    </row>
    <row r="600" spans="2:12" x14ac:dyDescent="0.2">
      <c r="B600" s="60" t="s">
        <v>804</v>
      </c>
      <c r="C600" s="54" t="s">
        <v>801</v>
      </c>
      <c r="D600" s="55"/>
      <c r="E600" s="52">
        <v>300</v>
      </c>
      <c r="F600" s="60">
        <v>6</v>
      </c>
      <c r="G600" s="60">
        <v>33</v>
      </c>
      <c r="H600" s="60">
        <v>55</v>
      </c>
      <c r="I600" s="60">
        <v>3.8</v>
      </c>
      <c r="J600" s="60">
        <v>4</v>
      </c>
      <c r="K600" s="60">
        <v>4.2</v>
      </c>
      <c r="L600" s="63"/>
    </row>
    <row r="601" spans="2:12" x14ac:dyDescent="0.2">
      <c r="B601" s="60" t="s">
        <v>1229</v>
      </c>
      <c r="C601" s="54" t="s">
        <v>801</v>
      </c>
      <c r="D601" s="55"/>
      <c r="E601" s="52">
        <v>370</v>
      </c>
      <c r="F601" s="60">
        <v>10</v>
      </c>
      <c r="G601" s="60">
        <v>33</v>
      </c>
      <c r="H601" s="60">
        <v>55</v>
      </c>
      <c r="I601" s="60">
        <v>3.8</v>
      </c>
      <c r="J601" s="60">
        <v>4</v>
      </c>
      <c r="K601" s="60">
        <v>4.2</v>
      </c>
      <c r="L601" s="63"/>
    </row>
    <row r="602" spans="2:12" x14ac:dyDescent="0.2">
      <c r="B602" s="60" t="s">
        <v>1230</v>
      </c>
      <c r="C602" s="54" t="s">
        <v>801</v>
      </c>
      <c r="D602" s="55"/>
      <c r="E602" s="52">
        <v>550</v>
      </c>
      <c r="F602" s="60">
        <v>10</v>
      </c>
      <c r="G602" s="60">
        <v>33</v>
      </c>
      <c r="H602" s="60">
        <v>55</v>
      </c>
      <c r="I602" s="60">
        <v>3.8</v>
      </c>
      <c r="J602" s="60">
        <v>4</v>
      </c>
      <c r="K602" s="60">
        <v>4.2</v>
      </c>
      <c r="L602" s="63"/>
    </row>
    <row r="603" spans="2:12" x14ac:dyDescent="0.2">
      <c r="B603" s="60" t="s">
        <v>1231</v>
      </c>
      <c r="C603" s="54" t="s">
        <v>801</v>
      </c>
      <c r="D603" s="55"/>
      <c r="E603" s="52">
        <v>380</v>
      </c>
      <c r="F603" s="60">
        <v>10</v>
      </c>
      <c r="G603" s="60">
        <v>33</v>
      </c>
      <c r="H603" s="60">
        <v>55</v>
      </c>
      <c r="I603" s="60">
        <v>3.8</v>
      </c>
      <c r="J603" s="60">
        <v>4</v>
      </c>
      <c r="K603" s="60">
        <v>4.2</v>
      </c>
      <c r="L603" s="63"/>
    </row>
    <row r="604" spans="2:12" x14ac:dyDescent="0.2">
      <c r="B604" s="60" t="s">
        <v>1232</v>
      </c>
      <c r="C604" s="54" t="s">
        <v>801</v>
      </c>
      <c r="D604" s="55"/>
      <c r="E604" s="52">
        <v>570</v>
      </c>
      <c r="F604" s="60">
        <v>10</v>
      </c>
      <c r="G604" s="60">
        <v>33</v>
      </c>
      <c r="H604" s="60">
        <v>55</v>
      </c>
      <c r="I604" s="60">
        <v>3.8</v>
      </c>
      <c r="J604" s="60">
        <v>4</v>
      </c>
      <c r="K604" s="60">
        <v>4.2</v>
      </c>
      <c r="L604" s="63"/>
    </row>
    <row r="605" spans="2:12" x14ac:dyDescent="0.2">
      <c r="B605" s="60" t="s">
        <v>1224</v>
      </c>
      <c r="C605" s="54" t="s">
        <v>801</v>
      </c>
      <c r="D605" s="55"/>
      <c r="E605" s="52">
        <v>485</v>
      </c>
      <c r="F605" s="60">
        <v>10</v>
      </c>
      <c r="G605" s="60">
        <v>33</v>
      </c>
      <c r="H605" s="60">
        <v>55</v>
      </c>
      <c r="I605" s="60">
        <v>3.8</v>
      </c>
      <c r="J605" s="60">
        <v>4</v>
      </c>
      <c r="K605" s="60">
        <v>4.2</v>
      </c>
      <c r="L605" s="63"/>
    </row>
    <row r="606" spans="2:12" x14ac:dyDescent="0.2">
      <c r="B606" s="60" t="s">
        <v>1225</v>
      </c>
      <c r="C606" s="54" t="s">
        <v>801</v>
      </c>
      <c r="D606" s="55"/>
      <c r="E606" s="52">
        <v>490</v>
      </c>
      <c r="F606" s="60">
        <v>10</v>
      </c>
      <c r="G606" s="60">
        <v>33</v>
      </c>
      <c r="H606" s="60">
        <v>55</v>
      </c>
      <c r="I606" s="60">
        <v>3.8</v>
      </c>
      <c r="J606" s="60">
        <v>4</v>
      </c>
      <c r="K606" s="60">
        <v>4.2</v>
      </c>
      <c r="L606" s="63"/>
    </row>
    <row r="607" spans="2:12" x14ac:dyDescent="0.2">
      <c r="B607" s="60" t="s">
        <v>1226</v>
      </c>
      <c r="C607" s="54" t="s">
        <v>801</v>
      </c>
      <c r="D607" s="55"/>
      <c r="E607" s="52">
        <v>600</v>
      </c>
      <c r="F607" s="60">
        <v>10</v>
      </c>
      <c r="G607" s="60">
        <v>33</v>
      </c>
      <c r="H607" s="60">
        <v>55</v>
      </c>
      <c r="I607" s="60">
        <v>3.8</v>
      </c>
      <c r="J607" s="60">
        <v>4</v>
      </c>
      <c r="K607" s="60">
        <v>4.2</v>
      </c>
      <c r="L607" s="63"/>
    </row>
    <row r="608" spans="2:12" x14ac:dyDescent="0.2">
      <c r="B608" s="60" t="s">
        <v>1227</v>
      </c>
      <c r="C608" s="54" t="s">
        <v>801</v>
      </c>
      <c r="D608" s="55"/>
      <c r="E608" s="52">
        <v>900</v>
      </c>
      <c r="F608" s="60">
        <v>10</v>
      </c>
      <c r="G608" s="60">
        <v>33</v>
      </c>
      <c r="H608" s="60">
        <v>55</v>
      </c>
      <c r="I608" s="60">
        <v>3.8</v>
      </c>
      <c r="J608" s="60">
        <v>4</v>
      </c>
      <c r="K608" s="60">
        <v>4.2</v>
      </c>
      <c r="L608" s="63"/>
    </row>
    <row r="609" spans="1:12" x14ac:dyDescent="0.2">
      <c r="B609" s="60" t="s">
        <v>1228</v>
      </c>
      <c r="C609" s="54" t="s">
        <v>801</v>
      </c>
      <c r="D609" s="55"/>
      <c r="E609" s="52">
        <v>1130</v>
      </c>
      <c r="F609" s="60">
        <v>10</v>
      </c>
      <c r="G609" s="60">
        <v>33</v>
      </c>
      <c r="H609" s="60">
        <v>55</v>
      </c>
      <c r="I609" s="60">
        <v>3.8</v>
      </c>
      <c r="J609" s="60">
        <v>4</v>
      </c>
      <c r="K609" s="60">
        <v>4.2</v>
      </c>
      <c r="L609" s="63"/>
    </row>
    <row r="610" spans="1:12" x14ac:dyDescent="0.2">
      <c r="D610" s="55"/>
      <c r="L610" s="63"/>
    </row>
    <row r="611" spans="1:12" x14ac:dyDescent="0.2">
      <c r="A611" s="60">
        <v>30</v>
      </c>
      <c r="B611" s="47" t="s">
        <v>872</v>
      </c>
      <c r="D611" s="55"/>
      <c r="L611" s="63"/>
    </row>
    <row r="612" spans="1:12" x14ac:dyDescent="0.2">
      <c r="B612" s="60" t="s">
        <v>874</v>
      </c>
      <c r="C612" s="54" t="s">
        <v>873</v>
      </c>
      <c r="D612" s="55" t="s">
        <v>439</v>
      </c>
      <c r="E612" s="52">
        <v>13.64</v>
      </c>
      <c r="F612" s="60">
        <v>35</v>
      </c>
      <c r="G612" s="60">
        <v>35</v>
      </c>
      <c r="H612" s="60">
        <v>55</v>
      </c>
      <c r="I612" s="60">
        <v>3.8</v>
      </c>
      <c r="J612" s="60">
        <v>3</v>
      </c>
      <c r="K612" s="60">
        <v>3.2</v>
      </c>
      <c r="L612" s="63"/>
    </row>
    <row r="613" spans="1:12" x14ac:dyDescent="0.2">
      <c r="B613" s="60" t="s">
        <v>875</v>
      </c>
      <c r="C613" s="54" t="s">
        <v>873</v>
      </c>
      <c r="D613" s="55" t="s">
        <v>439</v>
      </c>
      <c r="E613" s="52">
        <v>11.64</v>
      </c>
      <c r="F613" s="60">
        <v>35</v>
      </c>
      <c r="G613" s="60">
        <v>35</v>
      </c>
      <c r="H613" s="60">
        <v>55</v>
      </c>
      <c r="I613" s="60">
        <v>3.8</v>
      </c>
      <c r="J613" s="60">
        <v>3</v>
      </c>
      <c r="K613" s="60">
        <v>3.2</v>
      </c>
      <c r="L613" s="63"/>
    </row>
    <row r="614" spans="1:12" x14ac:dyDescent="0.2">
      <c r="B614" s="60" t="s">
        <v>877</v>
      </c>
      <c r="C614" s="54" t="s">
        <v>873</v>
      </c>
      <c r="D614" s="55" t="s">
        <v>439</v>
      </c>
      <c r="E614" s="52">
        <v>9.35</v>
      </c>
      <c r="F614" s="60">
        <v>35</v>
      </c>
      <c r="G614" s="60">
        <v>35</v>
      </c>
      <c r="H614" s="60">
        <v>55</v>
      </c>
      <c r="I614" s="60">
        <v>3.8</v>
      </c>
      <c r="J614" s="60">
        <v>3</v>
      </c>
      <c r="K614" s="60">
        <v>3.2</v>
      </c>
      <c r="L614" s="63"/>
    </row>
    <row r="615" spans="1:12" x14ac:dyDescent="0.2">
      <c r="B615" s="60" t="s">
        <v>876</v>
      </c>
      <c r="C615" s="54" t="s">
        <v>873</v>
      </c>
      <c r="D615" s="55" t="s">
        <v>439</v>
      </c>
      <c r="E615" s="52">
        <v>5.84</v>
      </c>
      <c r="F615" s="60">
        <v>35</v>
      </c>
      <c r="G615" s="60">
        <v>35</v>
      </c>
      <c r="H615" s="60">
        <v>55</v>
      </c>
      <c r="I615" s="60">
        <v>3.8</v>
      </c>
      <c r="J615" s="60">
        <v>3</v>
      </c>
      <c r="K615" s="60">
        <v>3.2</v>
      </c>
      <c r="L615" s="63"/>
    </row>
    <row r="616" spans="1:12" x14ac:dyDescent="0.2">
      <c r="B616" s="60" t="s">
        <v>878</v>
      </c>
      <c r="C616" s="54" t="s">
        <v>873</v>
      </c>
      <c r="D616" s="55" t="s">
        <v>414</v>
      </c>
      <c r="E616" s="52">
        <v>17.440000000000001</v>
      </c>
      <c r="F616" s="60">
        <v>110</v>
      </c>
      <c r="G616" s="60">
        <v>35</v>
      </c>
      <c r="H616" s="60">
        <v>55</v>
      </c>
      <c r="I616" s="60">
        <v>3.8</v>
      </c>
      <c r="J616" s="60">
        <v>3</v>
      </c>
      <c r="K616" s="60">
        <v>3.2</v>
      </c>
      <c r="L616" s="63"/>
    </row>
    <row r="617" spans="1:12" x14ac:dyDescent="0.2">
      <c r="B617" s="60" t="s">
        <v>879</v>
      </c>
      <c r="C617" s="54" t="s">
        <v>873</v>
      </c>
      <c r="D617" s="55" t="s">
        <v>414</v>
      </c>
      <c r="E617" s="52">
        <v>16.18</v>
      </c>
      <c r="F617" s="60">
        <v>110</v>
      </c>
      <c r="G617" s="60">
        <v>35</v>
      </c>
      <c r="H617" s="60">
        <v>55</v>
      </c>
      <c r="I617" s="60">
        <v>3.8</v>
      </c>
      <c r="J617" s="60">
        <v>3</v>
      </c>
      <c r="K617" s="60">
        <v>3.2</v>
      </c>
      <c r="L617" s="63"/>
    </row>
    <row r="618" spans="1:12" x14ac:dyDescent="0.2">
      <c r="B618" s="60" t="s">
        <v>880</v>
      </c>
      <c r="C618" s="54" t="s">
        <v>873</v>
      </c>
      <c r="D618" s="55" t="s">
        <v>414</v>
      </c>
      <c r="E618" s="52">
        <v>14.15</v>
      </c>
      <c r="F618" s="60">
        <v>110</v>
      </c>
      <c r="G618" s="60">
        <v>35</v>
      </c>
      <c r="H618" s="60">
        <v>55</v>
      </c>
      <c r="I618" s="60">
        <v>3.8</v>
      </c>
      <c r="J618" s="60">
        <v>3</v>
      </c>
      <c r="K618" s="60">
        <v>3.2</v>
      </c>
      <c r="L618" s="63"/>
    </row>
    <row r="619" spans="1:12" x14ac:dyDescent="0.2">
      <c r="B619" s="60" t="s">
        <v>881</v>
      </c>
      <c r="C619" s="54" t="s">
        <v>873</v>
      </c>
      <c r="D619" s="55" t="s">
        <v>414</v>
      </c>
      <c r="E619" s="52">
        <v>8.09</v>
      </c>
      <c r="F619" s="60">
        <v>110</v>
      </c>
      <c r="G619" s="60">
        <v>35</v>
      </c>
      <c r="H619" s="60">
        <v>55</v>
      </c>
      <c r="I619" s="60">
        <v>3.8</v>
      </c>
      <c r="J619" s="60">
        <v>3</v>
      </c>
      <c r="K619" s="60">
        <v>3.2</v>
      </c>
      <c r="L619" s="63"/>
    </row>
    <row r="620" spans="1:12" x14ac:dyDescent="0.2">
      <c r="B620" s="60" t="s">
        <v>882</v>
      </c>
      <c r="C620" s="54" t="s">
        <v>873</v>
      </c>
      <c r="D620" s="55" t="s">
        <v>414</v>
      </c>
      <c r="E620" s="52">
        <v>20.8</v>
      </c>
      <c r="F620" s="60">
        <v>110</v>
      </c>
      <c r="G620" s="60">
        <v>35</v>
      </c>
      <c r="H620" s="60">
        <v>55</v>
      </c>
      <c r="I620" s="60">
        <v>3.8</v>
      </c>
      <c r="J620" s="60">
        <v>3</v>
      </c>
      <c r="K620" s="60">
        <v>3.2</v>
      </c>
      <c r="L620" s="63"/>
    </row>
    <row r="621" spans="1:12" x14ac:dyDescent="0.2">
      <c r="B621" s="60" t="s">
        <v>883</v>
      </c>
      <c r="C621" s="54" t="s">
        <v>873</v>
      </c>
      <c r="D621" s="55" t="s">
        <v>414</v>
      </c>
      <c r="E621" s="52">
        <v>17.8</v>
      </c>
      <c r="F621" s="60">
        <v>110</v>
      </c>
      <c r="G621" s="60">
        <v>35</v>
      </c>
      <c r="H621" s="60">
        <v>55</v>
      </c>
      <c r="I621" s="60">
        <v>3.8</v>
      </c>
      <c r="J621" s="60">
        <v>3</v>
      </c>
      <c r="K621" s="60">
        <v>3.2</v>
      </c>
      <c r="L621" s="63"/>
    </row>
    <row r="622" spans="1:12" x14ac:dyDescent="0.2">
      <c r="B622" s="60" t="s">
        <v>884</v>
      </c>
      <c r="C622" s="54" t="s">
        <v>873</v>
      </c>
      <c r="D622" s="55" t="s">
        <v>414</v>
      </c>
      <c r="E622" s="52">
        <v>14.8</v>
      </c>
      <c r="F622" s="60">
        <v>110</v>
      </c>
      <c r="G622" s="60">
        <v>35</v>
      </c>
      <c r="H622" s="60">
        <v>55</v>
      </c>
      <c r="I622" s="60">
        <v>3.8</v>
      </c>
      <c r="J622" s="60">
        <v>3</v>
      </c>
      <c r="K622" s="60">
        <v>3.2</v>
      </c>
      <c r="L622" s="63"/>
    </row>
    <row r="623" spans="1:12" x14ac:dyDescent="0.2">
      <c r="B623" s="60" t="s">
        <v>885</v>
      </c>
      <c r="C623" s="54" t="s">
        <v>873</v>
      </c>
      <c r="D623" s="55" t="s">
        <v>414</v>
      </c>
      <c r="E623" s="52">
        <v>8.9</v>
      </c>
      <c r="F623" s="60">
        <v>110</v>
      </c>
      <c r="G623" s="60">
        <v>35</v>
      </c>
      <c r="H623" s="60">
        <v>55</v>
      </c>
      <c r="I623" s="60">
        <v>3.8</v>
      </c>
      <c r="J623" s="60">
        <v>3</v>
      </c>
      <c r="K623" s="60">
        <v>3.2</v>
      </c>
      <c r="L623" s="63"/>
    </row>
    <row r="624" spans="1:12" x14ac:dyDescent="0.2">
      <c r="B624" s="60" t="s">
        <v>886</v>
      </c>
      <c r="C624" s="54" t="s">
        <v>873</v>
      </c>
      <c r="D624" s="55" t="s">
        <v>461</v>
      </c>
      <c r="E624" s="52">
        <v>35.340000000000003</v>
      </c>
      <c r="F624" s="60">
        <v>220</v>
      </c>
      <c r="G624" s="60">
        <v>35</v>
      </c>
      <c r="H624" s="60">
        <v>55</v>
      </c>
      <c r="I624" s="60">
        <v>3.8</v>
      </c>
      <c r="J624" s="60">
        <v>3</v>
      </c>
      <c r="K624" s="60">
        <v>3.2</v>
      </c>
      <c r="L624" s="63"/>
    </row>
    <row r="625" spans="2:12" x14ac:dyDescent="0.2">
      <c r="B625" s="60" t="s">
        <v>887</v>
      </c>
      <c r="C625" s="54" t="s">
        <v>873</v>
      </c>
      <c r="D625" s="55" t="s">
        <v>461</v>
      </c>
      <c r="E625" s="52">
        <v>30.29</v>
      </c>
      <c r="F625" s="60">
        <v>220</v>
      </c>
      <c r="G625" s="60">
        <v>35</v>
      </c>
      <c r="H625" s="60">
        <v>55</v>
      </c>
      <c r="I625" s="60">
        <v>3.8</v>
      </c>
      <c r="J625" s="60">
        <v>3</v>
      </c>
      <c r="K625" s="60">
        <v>3.2</v>
      </c>
      <c r="L625" s="63"/>
    </row>
    <row r="626" spans="2:12" x14ac:dyDescent="0.2">
      <c r="B626" s="60" t="s">
        <v>888</v>
      </c>
      <c r="C626" s="54" t="s">
        <v>873</v>
      </c>
      <c r="D626" s="55" t="s">
        <v>461</v>
      </c>
      <c r="E626" s="52">
        <v>25.24</v>
      </c>
      <c r="F626" s="60">
        <v>220</v>
      </c>
      <c r="G626" s="60">
        <v>35</v>
      </c>
      <c r="H626" s="60">
        <v>55</v>
      </c>
      <c r="I626" s="60">
        <v>3.8</v>
      </c>
      <c r="J626" s="60">
        <v>3</v>
      </c>
      <c r="K626" s="60">
        <v>3.2</v>
      </c>
      <c r="L626" s="63"/>
    </row>
    <row r="627" spans="2:12" x14ac:dyDescent="0.2">
      <c r="B627" s="60" t="s">
        <v>889</v>
      </c>
      <c r="C627" s="54" t="s">
        <v>873</v>
      </c>
      <c r="D627" s="55" t="s">
        <v>461</v>
      </c>
      <c r="E627" s="52">
        <v>15.14</v>
      </c>
      <c r="F627" s="60">
        <v>220</v>
      </c>
      <c r="G627" s="60">
        <v>35</v>
      </c>
      <c r="H627" s="60">
        <v>55</v>
      </c>
      <c r="I627" s="60">
        <v>3.8</v>
      </c>
      <c r="J627" s="60">
        <v>3</v>
      </c>
      <c r="K627" s="60">
        <v>3.2</v>
      </c>
      <c r="L627" s="63"/>
    </row>
    <row r="628" spans="2:12" x14ac:dyDescent="0.2">
      <c r="B628" s="60" t="s">
        <v>890</v>
      </c>
      <c r="C628" s="54" t="s">
        <v>873</v>
      </c>
      <c r="D628" s="55" t="s">
        <v>461</v>
      </c>
      <c r="E628" s="52">
        <v>40.6</v>
      </c>
      <c r="F628" s="60">
        <v>220</v>
      </c>
      <c r="G628" s="60">
        <v>35</v>
      </c>
      <c r="H628" s="60">
        <v>55</v>
      </c>
      <c r="I628" s="60">
        <v>3.8</v>
      </c>
      <c r="J628" s="60">
        <v>3</v>
      </c>
      <c r="K628" s="60">
        <v>3.2</v>
      </c>
      <c r="L628" s="63"/>
    </row>
    <row r="629" spans="2:12" x14ac:dyDescent="0.2">
      <c r="B629" s="60" t="s">
        <v>891</v>
      </c>
      <c r="C629" s="54" t="s">
        <v>873</v>
      </c>
      <c r="D629" s="55" t="s">
        <v>461</v>
      </c>
      <c r="E629" s="52">
        <v>34.799999999999997</v>
      </c>
      <c r="F629" s="60">
        <v>220</v>
      </c>
      <c r="G629" s="60">
        <v>35</v>
      </c>
      <c r="H629" s="60">
        <v>55</v>
      </c>
      <c r="I629" s="60">
        <v>3.8</v>
      </c>
      <c r="J629" s="60">
        <v>3</v>
      </c>
      <c r="K629" s="60">
        <v>3.2</v>
      </c>
      <c r="L629" s="63"/>
    </row>
    <row r="630" spans="2:12" x14ac:dyDescent="0.2">
      <c r="B630" s="60" t="s">
        <v>892</v>
      </c>
      <c r="C630" s="54" t="s">
        <v>873</v>
      </c>
      <c r="D630" s="55" t="s">
        <v>461</v>
      </c>
      <c r="E630" s="52">
        <v>29</v>
      </c>
      <c r="F630" s="60">
        <v>220</v>
      </c>
      <c r="G630" s="60">
        <v>35</v>
      </c>
      <c r="H630" s="60">
        <v>55</v>
      </c>
      <c r="I630" s="60">
        <v>3.8</v>
      </c>
      <c r="J630" s="60">
        <v>3</v>
      </c>
      <c r="K630" s="60">
        <v>3.2</v>
      </c>
      <c r="L630" s="63"/>
    </row>
    <row r="631" spans="2:12" x14ac:dyDescent="0.2">
      <c r="B631" s="60" t="s">
        <v>893</v>
      </c>
      <c r="C631" s="54" t="s">
        <v>873</v>
      </c>
      <c r="D631" s="55" t="s">
        <v>461</v>
      </c>
      <c r="E631" s="52">
        <v>17.399999999999999</v>
      </c>
      <c r="F631" s="60">
        <v>220</v>
      </c>
      <c r="G631" s="60">
        <v>35</v>
      </c>
      <c r="H631" s="60">
        <v>55</v>
      </c>
      <c r="I631" s="60">
        <v>3.8</v>
      </c>
      <c r="J631" s="60">
        <v>3</v>
      </c>
      <c r="K631" s="60">
        <v>3.2</v>
      </c>
      <c r="L631" s="63"/>
    </row>
    <row r="632" spans="2:12" x14ac:dyDescent="0.2">
      <c r="B632" s="60" t="s">
        <v>901</v>
      </c>
      <c r="C632" s="54" t="s">
        <v>873</v>
      </c>
      <c r="D632" s="55" t="s">
        <v>463</v>
      </c>
      <c r="E632" s="52">
        <v>1.97</v>
      </c>
      <c r="F632" s="60">
        <v>35</v>
      </c>
      <c r="G632" s="60">
        <v>35</v>
      </c>
      <c r="H632" s="60">
        <v>55</v>
      </c>
      <c r="I632" s="60">
        <v>3.8</v>
      </c>
      <c r="J632" s="60">
        <v>3</v>
      </c>
      <c r="K632" s="60">
        <v>3.2</v>
      </c>
      <c r="L632" s="63"/>
    </row>
    <row r="633" spans="2:12" x14ac:dyDescent="0.2">
      <c r="B633" s="60" t="s">
        <v>902</v>
      </c>
      <c r="C633" s="54" t="s">
        <v>873</v>
      </c>
      <c r="D633" s="55" t="s">
        <v>463</v>
      </c>
      <c r="E633" s="52">
        <v>1.69</v>
      </c>
      <c r="F633" s="60">
        <v>35</v>
      </c>
      <c r="G633" s="60">
        <v>35</v>
      </c>
      <c r="H633" s="60">
        <v>55</v>
      </c>
      <c r="I633" s="60">
        <v>3.8</v>
      </c>
      <c r="J633" s="60">
        <v>3</v>
      </c>
      <c r="K633" s="60">
        <v>3.2</v>
      </c>
      <c r="L633" s="63"/>
    </row>
    <row r="634" spans="2:12" x14ac:dyDescent="0.2">
      <c r="B634" s="60" t="s">
        <v>903</v>
      </c>
      <c r="C634" s="54" t="s">
        <v>873</v>
      </c>
      <c r="D634" s="55" t="s">
        <v>463</v>
      </c>
      <c r="E634" s="52">
        <v>1.23</v>
      </c>
      <c r="F634" s="60">
        <v>35</v>
      </c>
      <c r="G634" s="60">
        <v>35</v>
      </c>
      <c r="H634" s="60">
        <v>55</v>
      </c>
      <c r="I634" s="60">
        <v>3.8</v>
      </c>
      <c r="J634" s="60">
        <v>3</v>
      </c>
      <c r="K634" s="60">
        <v>3.2</v>
      </c>
      <c r="L634" s="63"/>
    </row>
    <row r="635" spans="2:12" x14ac:dyDescent="0.2">
      <c r="B635" s="60" t="s">
        <v>904</v>
      </c>
      <c r="C635" s="54" t="s">
        <v>873</v>
      </c>
      <c r="D635" s="55" t="s">
        <v>463</v>
      </c>
      <c r="E635" s="52">
        <v>0.84</v>
      </c>
      <c r="F635" s="60">
        <v>35</v>
      </c>
      <c r="G635" s="60">
        <v>35</v>
      </c>
      <c r="H635" s="60">
        <v>55</v>
      </c>
      <c r="I635" s="60">
        <v>3.8</v>
      </c>
      <c r="J635" s="60">
        <v>3</v>
      </c>
      <c r="K635" s="60">
        <v>3.2</v>
      </c>
      <c r="L635" s="63"/>
    </row>
    <row r="636" spans="2:12" x14ac:dyDescent="0.2">
      <c r="B636" s="60" t="s">
        <v>898</v>
      </c>
      <c r="C636" s="54" t="s">
        <v>873</v>
      </c>
      <c r="D636" s="55" t="s">
        <v>463</v>
      </c>
      <c r="E636" s="52">
        <v>9.1999999999999993</v>
      </c>
      <c r="F636" s="60">
        <v>110</v>
      </c>
      <c r="G636" s="60">
        <v>35</v>
      </c>
      <c r="H636" s="60">
        <v>55</v>
      </c>
      <c r="I636" s="60">
        <v>3.8</v>
      </c>
      <c r="J636" s="60">
        <v>3</v>
      </c>
      <c r="K636" s="60">
        <v>3.2</v>
      </c>
      <c r="L636" s="63"/>
    </row>
    <row r="637" spans="2:12" x14ac:dyDescent="0.2">
      <c r="B637" s="60" t="s">
        <v>899</v>
      </c>
      <c r="C637" s="54" t="s">
        <v>873</v>
      </c>
      <c r="D637" s="55" t="s">
        <v>463</v>
      </c>
      <c r="E637" s="52">
        <v>8.9</v>
      </c>
      <c r="F637" s="60">
        <v>110</v>
      </c>
      <c r="G637" s="60">
        <v>35</v>
      </c>
      <c r="H637" s="60">
        <v>55</v>
      </c>
      <c r="I637" s="60">
        <v>3.8</v>
      </c>
      <c r="J637" s="60">
        <v>3</v>
      </c>
      <c r="K637" s="60">
        <v>3.2</v>
      </c>
      <c r="L637" s="63"/>
    </row>
    <row r="638" spans="2:12" x14ac:dyDescent="0.2">
      <c r="B638" s="60" t="s">
        <v>900</v>
      </c>
      <c r="C638" s="54" t="s">
        <v>873</v>
      </c>
      <c r="D638" s="55" t="s">
        <v>463</v>
      </c>
      <c r="E638" s="52">
        <v>7.42</v>
      </c>
      <c r="F638" s="60">
        <v>110</v>
      </c>
      <c r="G638" s="60">
        <v>35</v>
      </c>
      <c r="H638" s="60">
        <v>55</v>
      </c>
      <c r="I638" s="60">
        <v>3.8</v>
      </c>
      <c r="J638" s="60">
        <v>3</v>
      </c>
      <c r="K638" s="60">
        <v>3.2</v>
      </c>
      <c r="L638" s="63"/>
    </row>
    <row r="639" spans="2:12" x14ac:dyDescent="0.2">
      <c r="B639" s="60" t="s">
        <v>905</v>
      </c>
      <c r="C639" s="54" t="s">
        <v>873</v>
      </c>
      <c r="D639" s="55" t="s">
        <v>463</v>
      </c>
      <c r="E639" s="52">
        <v>4.45</v>
      </c>
      <c r="F639" s="60">
        <v>110</v>
      </c>
      <c r="G639" s="60">
        <v>35</v>
      </c>
      <c r="H639" s="60">
        <v>55</v>
      </c>
      <c r="I639" s="60">
        <v>3.8</v>
      </c>
      <c r="J639" s="60">
        <v>3</v>
      </c>
      <c r="K639" s="60">
        <v>3.2</v>
      </c>
      <c r="L639" s="63"/>
    </row>
    <row r="640" spans="2:12" x14ac:dyDescent="0.2">
      <c r="B640" s="60" t="s">
        <v>906</v>
      </c>
      <c r="C640" s="54" t="s">
        <v>873</v>
      </c>
      <c r="D640" s="55" t="s">
        <v>463</v>
      </c>
      <c r="E640" s="52">
        <v>15.48</v>
      </c>
      <c r="F640" s="60">
        <v>220</v>
      </c>
      <c r="G640" s="60">
        <v>35</v>
      </c>
      <c r="H640" s="60">
        <v>55</v>
      </c>
      <c r="I640" s="60">
        <v>3.8</v>
      </c>
      <c r="J640" s="60">
        <v>3</v>
      </c>
      <c r="K640" s="60">
        <v>3.2</v>
      </c>
      <c r="L640" s="63"/>
    </row>
    <row r="641" spans="2:12" x14ac:dyDescent="0.2">
      <c r="B641" s="60" t="s">
        <v>907</v>
      </c>
      <c r="C641" s="54" t="s">
        <v>873</v>
      </c>
      <c r="D641" s="55" t="s">
        <v>463</v>
      </c>
      <c r="E641" s="52">
        <v>13.27</v>
      </c>
      <c r="F641" s="60">
        <v>220</v>
      </c>
      <c r="G641" s="60">
        <v>35</v>
      </c>
      <c r="H641" s="60">
        <v>55</v>
      </c>
      <c r="I641" s="60">
        <v>3.8</v>
      </c>
      <c r="J641" s="60">
        <v>3</v>
      </c>
      <c r="K641" s="60">
        <v>3.2</v>
      </c>
      <c r="L641" s="63"/>
    </row>
    <row r="642" spans="2:12" x14ac:dyDescent="0.2">
      <c r="B642" s="60" t="s">
        <v>908</v>
      </c>
      <c r="C642" s="54" t="s">
        <v>873</v>
      </c>
      <c r="D642" s="55" t="s">
        <v>463</v>
      </c>
      <c r="E642" s="52">
        <v>11.06</v>
      </c>
      <c r="F642" s="60">
        <v>220</v>
      </c>
      <c r="G642" s="60">
        <v>35</v>
      </c>
      <c r="H642" s="60">
        <v>55</v>
      </c>
      <c r="I642" s="60">
        <v>3.8</v>
      </c>
      <c r="J642" s="60">
        <v>3</v>
      </c>
      <c r="K642" s="60">
        <v>3.2</v>
      </c>
      <c r="L642" s="63"/>
    </row>
    <row r="643" spans="2:12" x14ac:dyDescent="0.2">
      <c r="B643" s="60" t="s">
        <v>909</v>
      </c>
      <c r="C643" s="54" t="s">
        <v>873</v>
      </c>
      <c r="D643" s="55" t="s">
        <v>463</v>
      </c>
      <c r="E643" s="52">
        <v>6.64</v>
      </c>
      <c r="F643" s="60">
        <v>220</v>
      </c>
      <c r="G643" s="60">
        <v>35</v>
      </c>
      <c r="H643" s="60">
        <v>55</v>
      </c>
      <c r="I643" s="60">
        <v>3.8</v>
      </c>
      <c r="J643" s="60">
        <v>3</v>
      </c>
      <c r="K643" s="60">
        <v>3.2</v>
      </c>
      <c r="L643" s="63"/>
    </row>
    <row r="644" spans="2:12" x14ac:dyDescent="0.2">
      <c r="B644" s="60" t="s">
        <v>894</v>
      </c>
      <c r="C644" s="54" t="s">
        <v>873</v>
      </c>
      <c r="D644" s="55" t="s">
        <v>472</v>
      </c>
      <c r="E644" s="52">
        <v>16.62</v>
      </c>
      <c r="F644" s="60">
        <v>220</v>
      </c>
      <c r="G644" s="60">
        <v>35</v>
      </c>
      <c r="H644" s="60">
        <v>55</v>
      </c>
      <c r="I644" s="60">
        <v>3.8</v>
      </c>
      <c r="J644" s="60">
        <v>3</v>
      </c>
      <c r="K644" s="60">
        <v>3.2</v>
      </c>
      <c r="L644" s="63"/>
    </row>
    <row r="645" spans="2:12" x14ac:dyDescent="0.2">
      <c r="B645" s="60" t="s">
        <v>895</v>
      </c>
      <c r="C645" s="54" t="s">
        <v>873</v>
      </c>
      <c r="D645" s="55" t="s">
        <v>472</v>
      </c>
      <c r="E645" s="52">
        <v>14.24</v>
      </c>
      <c r="F645" s="60">
        <v>220</v>
      </c>
      <c r="G645" s="60">
        <v>35</v>
      </c>
      <c r="H645" s="60">
        <v>55</v>
      </c>
      <c r="I645" s="60">
        <v>3.8</v>
      </c>
      <c r="J645" s="60">
        <v>3</v>
      </c>
      <c r="K645" s="60">
        <v>3.2</v>
      </c>
      <c r="L645" s="63"/>
    </row>
    <row r="646" spans="2:12" x14ac:dyDescent="0.2">
      <c r="B646" s="60" t="s">
        <v>896</v>
      </c>
      <c r="C646" s="54" t="s">
        <v>873</v>
      </c>
      <c r="D646" s="55" t="s">
        <v>472</v>
      </c>
      <c r="E646" s="52">
        <v>11.87</v>
      </c>
      <c r="F646" s="60">
        <v>220</v>
      </c>
      <c r="G646" s="60">
        <v>35</v>
      </c>
      <c r="H646" s="60">
        <v>55</v>
      </c>
      <c r="I646" s="60">
        <v>3.8</v>
      </c>
      <c r="J646" s="60">
        <v>3</v>
      </c>
      <c r="K646" s="60">
        <v>3.2</v>
      </c>
      <c r="L646" s="63"/>
    </row>
    <row r="647" spans="2:12" x14ac:dyDescent="0.2">
      <c r="B647" s="60" t="s">
        <v>897</v>
      </c>
      <c r="C647" s="54" t="s">
        <v>873</v>
      </c>
      <c r="D647" s="55" t="s">
        <v>472</v>
      </c>
      <c r="E647" s="52">
        <v>7.12</v>
      </c>
      <c r="F647" s="60">
        <v>220</v>
      </c>
      <c r="G647" s="60">
        <v>35</v>
      </c>
      <c r="H647" s="60">
        <v>55</v>
      </c>
      <c r="I647" s="60">
        <v>3.8</v>
      </c>
      <c r="J647" s="60">
        <v>3</v>
      </c>
      <c r="K647" s="60">
        <v>3.2</v>
      </c>
      <c r="L647" s="63"/>
    </row>
    <row r="648" spans="2:12" x14ac:dyDescent="0.2">
      <c r="B648" s="60" t="s">
        <v>910</v>
      </c>
      <c r="C648" s="54" t="s">
        <v>873</v>
      </c>
      <c r="D648" s="55" t="s">
        <v>466</v>
      </c>
      <c r="E648" s="52">
        <v>1.1399999999999999</v>
      </c>
      <c r="F648" s="60">
        <v>35</v>
      </c>
      <c r="G648" s="60">
        <v>35</v>
      </c>
      <c r="H648" s="60">
        <v>55</v>
      </c>
      <c r="I648" s="60">
        <v>3.8</v>
      </c>
      <c r="J648" s="60">
        <v>3</v>
      </c>
      <c r="K648" s="60">
        <v>3.2</v>
      </c>
      <c r="L648" s="63"/>
    </row>
    <row r="649" spans="2:12" x14ac:dyDescent="0.2">
      <c r="B649" s="60" t="s">
        <v>911</v>
      </c>
      <c r="C649" s="54" t="s">
        <v>873</v>
      </c>
      <c r="D649" s="55" t="s">
        <v>466</v>
      </c>
      <c r="E649" s="52">
        <v>1.01</v>
      </c>
      <c r="F649" s="60">
        <v>35</v>
      </c>
      <c r="G649" s="60">
        <v>35</v>
      </c>
      <c r="H649" s="60">
        <v>55</v>
      </c>
      <c r="I649" s="60">
        <v>3.8</v>
      </c>
      <c r="J649" s="60">
        <v>3</v>
      </c>
      <c r="K649" s="60">
        <v>3.2</v>
      </c>
      <c r="L649" s="63"/>
    </row>
    <row r="650" spans="2:12" x14ac:dyDescent="0.2">
      <c r="B650" s="60" t="s">
        <v>912</v>
      </c>
      <c r="C650" s="54" t="s">
        <v>873</v>
      </c>
      <c r="D650" s="55" t="s">
        <v>466</v>
      </c>
      <c r="E650" s="52">
        <v>0.88</v>
      </c>
      <c r="F650" s="60">
        <v>35</v>
      </c>
      <c r="G650" s="60">
        <v>35</v>
      </c>
      <c r="H650" s="60">
        <v>55</v>
      </c>
      <c r="I650" s="60">
        <v>3.8</v>
      </c>
      <c r="J650" s="60">
        <v>3</v>
      </c>
      <c r="K650" s="60">
        <v>3.2</v>
      </c>
      <c r="L650" s="63"/>
    </row>
    <row r="651" spans="2:12" x14ac:dyDescent="0.2">
      <c r="B651" s="60" t="s">
        <v>913</v>
      </c>
      <c r="C651" s="54" t="s">
        <v>873</v>
      </c>
      <c r="D651" s="55" t="s">
        <v>466</v>
      </c>
      <c r="E651" s="52">
        <v>0.6</v>
      </c>
      <c r="F651" s="60">
        <v>35</v>
      </c>
      <c r="G651" s="60">
        <v>35</v>
      </c>
      <c r="H651" s="60">
        <v>55</v>
      </c>
      <c r="I651" s="60">
        <v>3.8</v>
      </c>
      <c r="J651" s="60">
        <v>3</v>
      </c>
      <c r="K651" s="60">
        <v>3.2</v>
      </c>
      <c r="L651" s="63"/>
    </row>
    <row r="652" spans="2:12" x14ac:dyDescent="0.2">
      <c r="B652" s="60" t="s">
        <v>917</v>
      </c>
      <c r="C652" s="54" t="s">
        <v>873</v>
      </c>
      <c r="D652" s="55" t="s">
        <v>466</v>
      </c>
      <c r="E652" s="52">
        <v>1.95</v>
      </c>
      <c r="F652" s="60">
        <v>110</v>
      </c>
      <c r="G652" s="60">
        <v>35</v>
      </c>
      <c r="H652" s="60">
        <v>55</v>
      </c>
      <c r="I652" s="60">
        <v>3.8</v>
      </c>
      <c r="J652" s="60">
        <v>3</v>
      </c>
      <c r="K652" s="60">
        <v>3.2</v>
      </c>
      <c r="L652" s="63"/>
    </row>
    <row r="653" spans="2:12" x14ac:dyDescent="0.2">
      <c r="B653" s="60" t="s">
        <v>914</v>
      </c>
      <c r="C653" s="54" t="s">
        <v>873</v>
      </c>
      <c r="D653" s="55" t="s">
        <v>466</v>
      </c>
      <c r="E653" s="52">
        <v>1.66</v>
      </c>
      <c r="F653" s="60">
        <v>110</v>
      </c>
      <c r="G653" s="60">
        <v>35</v>
      </c>
      <c r="H653" s="60">
        <v>55</v>
      </c>
      <c r="I653" s="60">
        <v>3.8</v>
      </c>
      <c r="J653" s="60">
        <v>3</v>
      </c>
      <c r="K653" s="60">
        <v>3.2</v>
      </c>
      <c r="L653" s="63"/>
    </row>
    <row r="654" spans="2:12" x14ac:dyDescent="0.2">
      <c r="B654" s="60" t="s">
        <v>915</v>
      </c>
      <c r="C654" s="54" t="s">
        <v>873</v>
      </c>
      <c r="D654" s="55" t="s">
        <v>466</v>
      </c>
      <c r="E654" s="52">
        <v>1.46</v>
      </c>
      <c r="F654" s="60">
        <v>110</v>
      </c>
      <c r="G654" s="60">
        <v>35</v>
      </c>
      <c r="H654" s="60">
        <v>55</v>
      </c>
      <c r="I654" s="60">
        <v>3.8</v>
      </c>
      <c r="J654" s="60">
        <v>3</v>
      </c>
      <c r="K654" s="60">
        <v>3.2</v>
      </c>
      <c r="L654" s="63"/>
    </row>
    <row r="655" spans="2:12" x14ac:dyDescent="0.2">
      <c r="B655" s="60" t="s">
        <v>916</v>
      </c>
      <c r="C655" s="54" t="s">
        <v>873</v>
      </c>
      <c r="D655" s="55" t="s">
        <v>466</v>
      </c>
      <c r="E655" s="52">
        <v>0.96</v>
      </c>
      <c r="F655" s="60">
        <v>110</v>
      </c>
      <c r="G655" s="60">
        <v>35</v>
      </c>
      <c r="H655" s="60">
        <v>55</v>
      </c>
      <c r="I655" s="60">
        <v>3.8</v>
      </c>
      <c r="J655" s="60">
        <v>3</v>
      </c>
      <c r="K655" s="60">
        <v>3.2</v>
      </c>
      <c r="L655" s="63"/>
    </row>
    <row r="656" spans="2:12" x14ac:dyDescent="0.2">
      <c r="B656" s="60" t="s">
        <v>918</v>
      </c>
      <c r="C656" s="54" t="s">
        <v>873</v>
      </c>
      <c r="D656" s="55" t="s">
        <v>466</v>
      </c>
      <c r="E656" s="52">
        <v>3.55</v>
      </c>
      <c r="F656" s="60">
        <v>220</v>
      </c>
      <c r="G656" s="60">
        <v>35</v>
      </c>
      <c r="H656" s="60">
        <v>55</v>
      </c>
      <c r="I656" s="60">
        <v>3.8</v>
      </c>
      <c r="J656" s="60">
        <v>3</v>
      </c>
      <c r="K656" s="60">
        <v>3.2</v>
      </c>
      <c r="L656" s="63"/>
    </row>
    <row r="657" spans="2:12" x14ac:dyDescent="0.2">
      <c r="B657" s="60" t="s">
        <v>919</v>
      </c>
      <c r="C657" s="54" t="s">
        <v>873</v>
      </c>
      <c r="D657" s="55" t="s">
        <v>466</v>
      </c>
      <c r="E657" s="52">
        <v>3.01</v>
      </c>
      <c r="F657" s="60">
        <v>220</v>
      </c>
      <c r="G657" s="60">
        <v>35</v>
      </c>
      <c r="H657" s="60">
        <v>55</v>
      </c>
      <c r="I657" s="60">
        <v>3.8</v>
      </c>
      <c r="J657" s="60">
        <v>3</v>
      </c>
      <c r="K657" s="60">
        <v>3.2</v>
      </c>
      <c r="L657" s="63"/>
    </row>
    <row r="658" spans="2:12" x14ac:dyDescent="0.2">
      <c r="B658" s="60" t="s">
        <v>920</v>
      </c>
      <c r="C658" s="54" t="s">
        <v>873</v>
      </c>
      <c r="D658" s="55" t="s">
        <v>466</v>
      </c>
      <c r="E658" s="52">
        <v>2.56</v>
      </c>
      <c r="F658" s="60">
        <v>220</v>
      </c>
      <c r="G658" s="60">
        <v>35</v>
      </c>
      <c r="H658" s="60">
        <v>55</v>
      </c>
      <c r="I658" s="60">
        <v>3.8</v>
      </c>
      <c r="J658" s="60">
        <v>3</v>
      </c>
      <c r="K658" s="60">
        <v>3.2</v>
      </c>
      <c r="L658" s="63"/>
    </row>
    <row r="659" spans="2:12" x14ac:dyDescent="0.2">
      <c r="B659" s="60" t="s">
        <v>921</v>
      </c>
      <c r="C659" s="54" t="s">
        <v>873</v>
      </c>
      <c r="D659" s="55" t="s">
        <v>466</v>
      </c>
      <c r="E659" s="52">
        <v>1.62</v>
      </c>
      <c r="F659" s="60">
        <v>220</v>
      </c>
      <c r="G659" s="60">
        <v>35</v>
      </c>
      <c r="H659" s="60">
        <v>55</v>
      </c>
      <c r="I659" s="60">
        <v>3.8</v>
      </c>
      <c r="J659" s="60">
        <v>3</v>
      </c>
      <c r="K659" s="60">
        <v>3.2</v>
      </c>
      <c r="L659" s="63"/>
    </row>
    <row r="660" spans="2:12" x14ac:dyDescent="0.2">
      <c r="B660" s="60" t="s">
        <v>925</v>
      </c>
      <c r="C660" s="54" t="s">
        <v>873</v>
      </c>
      <c r="D660" s="55" t="s">
        <v>483</v>
      </c>
      <c r="E660" s="52">
        <v>1.36</v>
      </c>
      <c r="F660" s="60">
        <v>0</v>
      </c>
      <c r="G660" s="60">
        <v>35</v>
      </c>
      <c r="H660" s="60">
        <v>55</v>
      </c>
      <c r="I660" s="60">
        <v>3.8</v>
      </c>
      <c r="J660" s="60">
        <v>3</v>
      </c>
      <c r="K660" s="60">
        <v>3.2</v>
      </c>
      <c r="L660" s="63"/>
    </row>
    <row r="661" spans="2:12" x14ac:dyDescent="0.2">
      <c r="B661" s="60" t="s">
        <v>922</v>
      </c>
      <c r="C661" s="54" t="s">
        <v>873</v>
      </c>
      <c r="D661" s="55" t="s">
        <v>483</v>
      </c>
      <c r="E661" s="52">
        <v>1.1599999999999999</v>
      </c>
      <c r="F661" s="60">
        <v>0</v>
      </c>
      <c r="G661" s="60">
        <v>35</v>
      </c>
      <c r="H661" s="60">
        <v>55</v>
      </c>
      <c r="I661" s="60">
        <v>3.8</v>
      </c>
      <c r="J661" s="60">
        <v>3</v>
      </c>
      <c r="K661" s="60">
        <v>3.2</v>
      </c>
      <c r="L661" s="63"/>
    </row>
    <row r="662" spans="2:12" x14ac:dyDescent="0.2">
      <c r="B662" s="60" t="s">
        <v>923</v>
      </c>
      <c r="C662" s="54" t="s">
        <v>873</v>
      </c>
      <c r="D662" s="55" t="s">
        <v>483</v>
      </c>
      <c r="E662" s="52">
        <v>0.92</v>
      </c>
      <c r="F662" s="60">
        <v>0</v>
      </c>
      <c r="G662" s="60">
        <v>35</v>
      </c>
      <c r="H662" s="60">
        <v>55</v>
      </c>
      <c r="I662" s="60">
        <v>3.8</v>
      </c>
      <c r="J662" s="60">
        <v>3</v>
      </c>
      <c r="K662" s="60">
        <v>3.2</v>
      </c>
      <c r="L662" s="63"/>
    </row>
    <row r="663" spans="2:12" x14ac:dyDescent="0.2">
      <c r="B663" s="60" t="s">
        <v>924</v>
      </c>
      <c r="C663" s="54" t="s">
        <v>873</v>
      </c>
      <c r="D663" s="55" t="s">
        <v>483</v>
      </c>
      <c r="E663" s="52">
        <v>0.56000000000000005</v>
      </c>
      <c r="F663" s="60">
        <v>0</v>
      </c>
      <c r="G663" s="60">
        <v>35</v>
      </c>
      <c r="H663" s="60">
        <v>55</v>
      </c>
      <c r="I663" s="60">
        <v>3.8</v>
      </c>
      <c r="J663" s="60">
        <v>3</v>
      </c>
      <c r="K663" s="60">
        <v>3.2</v>
      </c>
      <c r="L663" s="63"/>
    </row>
    <row r="664" spans="2:12" x14ac:dyDescent="0.2">
      <c r="D664" s="55"/>
      <c r="L664" s="63"/>
    </row>
    <row r="665" spans="2:12" x14ac:dyDescent="0.2">
      <c r="B665" s="47" t="s">
        <v>1329</v>
      </c>
      <c r="D665" s="55"/>
      <c r="E665" s="52" t="s">
        <v>1328</v>
      </c>
      <c r="L665" s="63"/>
    </row>
    <row r="666" spans="2:12" x14ac:dyDescent="0.2">
      <c r="B666" s="60" t="s">
        <v>955</v>
      </c>
      <c r="C666" s="54" t="s">
        <v>981</v>
      </c>
      <c r="D666" s="55" t="s">
        <v>439</v>
      </c>
      <c r="E666" s="52">
        <v>50</v>
      </c>
      <c r="F666" s="60">
        <v>10</v>
      </c>
      <c r="K666" s="60">
        <v>100</v>
      </c>
      <c r="L666" s="63"/>
    </row>
    <row r="667" spans="2:12" x14ac:dyDescent="0.2">
      <c r="B667" s="60" t="s">
        <v>949</v>
      </c>
      <c r="C667" s="54" t="s">
        <v>981</v>
      </c>
      <c r="D667" s="55" t="s">
        <v>414</v>
      </c>
      <c r="E667" s="52">
        <v>50</v>
      </c>
      <c r="F667" s="60">
        <v>10</v>
      </c>
      <c r="K667" s="60">
        <v>100</v>
      </c>
      <c r="L667" s="63"/>
    </row>
    <row r="668" spans="2:12" x14ac:dyDescent="0.2">
      <c r="B668" s="60" t="s">
        <v>950</v>
      </c>
      <c r="C668" s="54" t="s">
        <v>981</v>
      </c>
      <c r="D668" s="55" t="s">
        <v>461</v>
      </c>
      <c r="E668" s="52">
        <v>80</v>
      </c>
      <c r="F668" s="60">
        <v>10</v>
      </c>
      <c r="K668" s="60">
        <v>100</v>
      </c>
      <c r="L668" s="63"/>
    </row>
    <row r="669" spans="2:12" x14ac:dyDescent="0.2">
      <c r="B669" s="60" t="s">
        <v>951</v>
      </c>
      <c r="C669" s="54" t="s">
        <v>981</v>
      </c>
      <c r="D669" s="55" t="s">
        <v>472</v>
      </c>
      <c r="E669" s="52">
        <v>150</v>
      </c>
      <c r="F669" s="60">
        <v>10</v>
      </c>
      <c r="K669" s="60">
        <v>100</v>
      </c>
      <c r="L669" s="63"/>
    </row>
    <row r="670" spans="2:12" x14ac:dyDescent="0.2">
      <c r="B670" s="60" t="s">
        <v>952</v>
      </c>
      <c r="C670" s="54" t="s">
        <v>981</v>
      </c>
      <c r="D670" s="55" t="s">
        <v>463</v>
      </c>
      <c r="E670" s="52">
        <v>250</v>
      </c>
      <c r="F670" s="60">
        <v>10</v>
      </c>
      <c r="K670" s="60">
        <v>100</v>
      </c>
      <c r="L670" s="63"/>
    </row>
    <row r="671" spans="2:12" x14ac:dyDescent="0.2">
      <c r="B671" s="60" t="s">
        <v>953</v>
      </c>
      <c r="C671" s="54" t="s">
        <v>981</v>
      </c>
      <c r="D671" s="55" t="s">
        <v>466</v>
      </c>
      <c r="E671" s="52">
        <v>200</v>
      </c>
      <c r="F671" s="60">
        <v>10</v>
      </c>
      <c r="K671" s="60">
        <v>100</v>
      </c>
      <c r="L671" s="63"/>
    </row>
    <row r="672" spans="2:12" x14ac:dyDescent="0.2">
      <c r="B672" s="60" t="s">
        <v>954</v>
      </c>
      <c r="C672" s="54" t="s">
        <v>981</v>
      </c>
      <c r="D672" s="55" t="s">
        <v>483</v>
      </c>
      <c r="E672" s="52">
        <v>80</v>
      </c>
      <c r="F672" s="60">
        <v>10</v>
      </c>
      <c r="K672" s="60">
        <v>100</v>
      </c>
      <c r="L672" s="63"/>
    </row>
    <row r="673" spans="2:12" x14ac:dyDescent="0.2">
      <c r="D673" s="55"/>
      <c r="L673" s="63"/>
    </row>
    <row r="674" spans="2:12" x14ac:dyDescent="0.2">
      <c r="B674" s="47" t="s">
        <v>1330</v>
      </c>
      <c r="C674" s="54" t="s">
        <v>956</v>
      </c>
      <c r="D674" s="55"/>
      <c r="E674" s="52" t="s">
        <v>1328</v>
      </c>
      <c r="L674" s="63"/>
    </row>
    <row r="675" spans="2:12" x14ac:dyDescent="0.2">
      <c r="B675" s="60" t="s">
        <v>957</v>
      </c>
      <c r="C675" s="54" t="s">
        <v>956</v>
      </c>
      <c r="D675" s="55" t="s">
        <v>439</v>
      </c>
      <c r="E675" s="52">
        <v>1500</v>
      </c>
      <c r="F675" s="60">
        <v>35</v>
      </c>
      <c r="K675" s="60">
        <v>100</v>
      </c>
      <c r="L675" s="63"/>
    </row>
    <row r="676" spans="2:12" x14ac:dyDescent="0.2">
      <c r="B676" s="60" t="s">
        <v>958</v>
      </c>
      <c r="C676" s="54" t="s">
        <v>956</v>
      </c>
      <c r="D676" s="55" t="s">
        <v>414</v>
      </c>
      <c r="E676" s="52">
        <v>2500</v>
      </c>
      <c r="F676" s="60">
        <v>35</v>
      </c>
      <c r="K676" s="60">
        <v>100</v>
      </c>
      <c r="L676" s="63"/>
    </row>
    <row r="677" spans="2:12" x14ac:dyDescent="0.2">
      <c r="B677" s="60" t="s">
        <v>967</v>
      </c>
      <c r="C677" s="54" t="s">
        <v>956</v>
      </c>
      <c r="D677" s="55" t="s">
        <v>472</v>
      </c>
      <c r="E677" s="52">
        <v>5000</v>
      </c>
      <c r="F677" s="60">
        <v>35</v>
      </c>
      <c r="K677" s="60">
        <v>100</v>
      </c>
      <c r="L677" s="63"/>
    </row>
    <row r="678" spans="2:12" x14ac:dyDescent="0.2">
      <c r="B678" s="60" t="s">
        <v>959</v>
      </c>
      <c r="C678" s="54" t="s">
        <v>956</v>
      </c>
      <c r="D678" s="55" t="s">
        <v>439</v>
      </c>
      <c r="E678" s="52">
        <v>2500</v>
      </c>
      <c r="F678" s="60">
        <v>110</v>
      </c>
      <c r="K678" s="60">
        <v>100</v>
      </c>
      <c r="L678" s="63"/>
    </row>
    <row r="679" spans="2:12" x14ac:dyDescent="0.2">
      <c r="B679" s="60" t="s">
        <v>960</v>
      </c>
      <c r="C679" s="54" t="s">
        <v>956</v>
      </c>
      <c r="D679" s="55" t="s">
        <v>414</v>
      </c>
      <c r="E679" s="52">
        <v>10000</v>
      </c>
      <c r="F679" s="60">
        <v>110</v>
      </c>
      <c r="K679" s="60">
        <v>100</v>
      </c>
      <c r="L679" s="63"/>
    </row>
    <row r="680" spans="2:12" x14ac:dyDescent="0.2">
      <c r="B680" s="60" t="s">
        <v>968</v>
      </c>
      <c r="C680" s="54" t="s">
        <v>956</v>
      </c>
      <c r="D680" s="55" t="s">
        <v>472</v>
      </c>
      <c r="E680" s="52">
        <v>12000</v>
      </c>
      <c r="F680" s="60">
        <v>110</v>
      </c>
      <c r="K680" s="60">
        <v>100</v>
      </c>
      <c r="L680" s="63"/>
    </row>
    <row r="681" spans="2:12" x14ac:dyDescent="0.2">
      <c r="B681" s="60" t="s">
        <v>961</v>
      </c>
      <c r="C681" s="54" t="s">
        <v>956</v>
      </c>
      <c r="D681" s="55" t="s">
        <v>962</v>
      </c>
      <c r="E681" s="52">
        <v>4500</v>
      </c>
      <c r="F681" s="60">
        <v>110</v>
      </c>
      <c r="K681" s="60">
        <v>100</v>
      </c>
      <c r="L681" s="63"/>
    </row>
    <row r="682" spans="2:12" x14ac:dyDescent="0.2">
      <c r="B682" s="60" t="s">
        <v>964</v>
      </c>
      <c r="C682" s="54" t="s">
        <v>956</v>
      </c>
      <c r="D682" s="55" t="s">
        <v>963</v>
      </c>
      <c r="E682" s="52">
        <v>15000</v>
      </c>
      <c r="F682" s="60">
        <v>110</v>
      </c>
      <c r="K682" s="60">
        <v>100</v>
      </c>
      <c r="L682" s="63"/>
    </row>
    <row r="683" spans="2:12" x14ac:dyDescent="0.2">
      <c r="B683" s="60" t="s">
        <v>966</v>
      </c>
      <c r="C683" s="54" t="s">
        <v>956</v>
      </c>
      <c r="D683" s="55" t="s">
        <v>965</v>
      </c>
      <c r="E683" s="52">
        <v>15000</v>
      </c>
      <c r="F683" s="60">
        <v>110</v>
      </c>
      <c r="K683" s="60">
        <v>100</v>
      </c>
      <c r="L683" s="63"/>
    </row>
    <row r="684" spans="2:12" x14ac:dyDescent="0.2">
      <c r="B684" s="60" t="s">
        <v>969</v>
      </c>
      <c r="C684" s="54" t="s">
        <v>956</v>
      </c>
      <c r="D684" s="55" t="s">
        <v>439</v>
      </c>
      <c r="E684" s="52">
        <v>8000</v>
      </c>
      <c r="F684" s="60">
        <v>220</v>
      </c>
      <c r="K684" s="60">
        <v>100</v>
      </c>
      <c r="L684" s="63"/>
    </row>
    <row r="685" spans="2:12" x14ac:dyDescent="0.2">
      <c r="B685" s="60" t="s">
        <v>970</v>
      </c>
      <c r="C685" s="54" t="s">
        <v>956</v>
      </c>
      <c r="D685" s="55" t="s">
        <v>414</v>
      </c>
      <c r="E685" s="52">
        <v>14000</v>
      </c>
      <c r="F685" s="60">
        <v>220</v>
      </c>
      <c r="K685" s="60">
        <v>100</v>
      </c>
      <c r="L685" s="63"/>
    </row>
    <row r="686" spans="2:12" x14ac:dyDescent="0.2">
      <c r="B686" s="60" t="s">
        <v>971</v>
      </c>
      <c r="C686" s="54" t="s">
        <v>956</v>
      </c>
      <c r="D686" s="55" t="s">
        <v>461</v>
      </c>
      <c r="E686" s="52">
        <v>16000</v>
      </c>
      <c r="F686" s="60">
        <v>220</v>
      </c>
      <c r="K686" s="60">
        <v>100</v>
      </c>
      <c r="L686" s="63"/>
    </row>
    <row r="687" spans="2:12" x14ac:dyDescent="0.2">
      <c r="B687" s="60" t="s">
        <v>972</v>
      </c>
      <c r="C687" s="54" t="s">
        <v>956</v>
      </c>
      <c r="D687" s="55" t="s">
        <v>463</v>
      </c>
      <c r="E687" s="52">
        <v>22000</v>
      </c>
      <c r="F687" s="60">
        <v>220</v>
      </c>
      <c r="K687" s="60">
        <v>100</v>
      </c>
      <c r="L687" s="63"/>
    </row>
    <row r="688" spans="2:12" x14ac:dyDescent="0.2">
      <c r="B688" s="60" t="s">
        <v>973</v>
      </c>
      <c r="C688" s="54" t="s">
        <v>956</v>
      </c>
      <c r="D688" s="55" t="s">
        <v>974</v>
      </c>
      <c r="E688" s="52">
        <v>20000</v>
      </c>
      <c r="F688" s="60">
        <v>220</v>
      </c>
      <c r="K688" s="60">
        <v>100</v>
      </c>
      <c r="L688" s="63"/>
    </row>
    <row r="689" spans="2:12" x14ac:dyDescent="0.2">
      <c r="B689" s="60" t="s">
        <v>975</v>
      </c>
      <c r="C689" s="54" t="s">
        <v>956</v>
      </c>
      <c r="D689" s="55" t="s">
        <v>974</v>
      </c>
      <c r="E689" s="52">
        <v>20000</v>
      </c>
      <c r="F689" s="60">
        <v>220</v>
      </c>
      <c r="K689" s="60">
        <v>100</v>
      </c>
      <c r="L689" s="63"/>
    </row>
    <row r="690" spans="2:12" x14ac:dyDescent="0.2">
      <c r="B690" s="60" t="s">
        <v>976</v>
      </c>
      <c r="C690" s="54" t="s">
        <v>956</v>
      </c>
      <c r="D690" s="55" t="s">
        <v>977</v>
      </c>
      <c r="E690" s="52">
        <v>25500</v>
      </c>
      <c r="F690" s="60">
        <v>220</v>
      </c>
      <c r="K690" s="60">
        <v>100</v>
      </c>
      <c r="L690" s="63"/>
    </row>
    <row r="691" spans="2:12" x14ac:dyDescent="0.2">
      <c r="B691" s="60" t="s">
        <v>978</v>
      </c>
      <c r="C691" s="54" t="s">
        <v>956</v>
      </c>
      <c r="D691" s="55" t="s">
        <v>979</v>
      </c>
      <c r="E691" s="52">
        <v>32500</v>
      </c>
      <c r="F691" s="60">
        <v>220</v>
      </c>
      <c r="K691" s="60">
        <v>100</v>
      </c>
      <c r="L691" s="63"/>
    </row>
    <row r="692" spans="2:12" x14ac:dyDescent="0.2">
      <c r="B692" s="60" t="s">
        <v>980</v>
      </c>
      <c r="C692" s="54" t="s">
        <v>956</v>
      </c>
      <c r="D692" s="55" t="s">
        <v>466</v>
      </c>
      <c r="E692" s="52">
        <v>36000</v>
      </c>
      <c r="F692" s="60">
        <v>220</v>
      </c>
      <c r="K692" s="60">
        <v>100</v>
      </c>
      <c r="L692" s="63"/>
    </row>
    <row r="694" spans="2:12" x14ac:dyDescent="0.2">
      <c r="B694" s="60" t="s">
        <v>1269</v>
      </c>
      <c r="C694" s="54" t="s">
        <v>1268</v>
      </c>
      <c r="F694" s="60">
        <v>10</v>
      </c>
      <c r="G694" s="60">
        <v>86.2</v>
      </c>
      <c r="J694" s="60">
        <v>6.7</v>
      </c>
      <c r="K694" s="60">
        <v>7.1</v>
      </c>
    </row>
    <row r="695" spans="2:12" x14ac:dyDescent="0.2">
      <c r="B695" s="60" t="s">
        <v>1270</v>
      </c>
      <c r="C695" s="54" t="s">
        <v>1268</v>
      </c>
      <c r="F695" s="60">
        <v>35</v>
      </c>
      <c r="G695" s="60">
        <v>86.2</v>
      </c>
      <c r="J695" s="60">
        <v>6.7</v>
      </c>
      <c r="K695" s="60">
        <v>7.1</v>
      </c>
    </row>
    <row r="696" spans="2:12" x14ac:dyDescent="0.2">
      <c r="B696" s="60" t="s">
        <v>1271</v>
      </c>
      <c r="C696" s="54" t="s">
        <v>1268</v>
      </c>
      <c r="F696" s="60">
        <v>110</v>
      </c>
      <c r="G696" s="60">
        <v>86.2</v>
      </c>
      <c r="J696" s="60">
        <v>6.7</v>
      </c>
      <c r="K696" s="60">
        <v>7.1</v>
      </c>
    </row>
    <row r="697" spans="2:12" x14ac:dyDescent="0.2">
      <c r="B697" s="60" t="s">
        <v>1272</v>
      </c>
      <c r="C697" s="54" t="s">
        <v>1268</v>
      </c>
      <c r="F697" s="60">
        <v>220</v>
      </c>
      <c r="G697" s="60">
        <v>86.2</v>
      </c>
      <c r="J697" s="60">
        <v>6.7</v>
      </c>
      <c r="K697" s="60">
        <v>7.1</v>
      </c>
    </row>
    <row r="699" spans="2:12" x14ac:dyDescent="0.2">
      <c r="B699" s="60" t="s">
        <v>1281</v>
      </c>
    </row>
    <row r="700" spans="2:12" x14ac:dyDescent="0.2">
      <c r="B700" s="60" t="s">
        <v>1283</v>
      </c>
      <c r="D700" s="206" t="s">
        <v>439</v>
      </c>
    </row>
    <row r="701" spans="2:12" x14ac:dyDescent="0.2">
      <c r="B701" s="60" t="s">
        <v>1282</v>
      </c>
      <c r="D701" s="206" t="s">
        <v>414</v>
      </c>
    </row>
    <row r="703" spans="2:12" x14ac:dyDescent="0.2">
      <c r="B703" s="60" t="s">
        <v>1292</v>
      </c>
    </row>
    <row r="704" spans="2:12" x14ac:dyDescent="0.2">
      <c r="B704" s="52" t="s">
        <v>1288</v>
      </c>
      <c r="C704" s="54" t="s">
        <v>492</v>
      </c>
      <c r="D704" s="55"/>
      <c r="F704" s="60">
        <v>35</v>
      </c>
      <c r="G704" s="60">
        <v>38.6</v>
      </c>
      <c r="H704" s="60">
        <v>51.5</v>
      </c>
      <c r="I704" s="60">
        <v>3.7</v>
      </c>
      <c r="J704" s="60">
        <v>3</v>
      </c>
      <c r="K704" s="60">
        <v>3.2</v>
      </c>
      <c r="L704" s="63"/>
    </row>
    <row r="705" spans="2:16" x14ac:dyDescent="0.2">
      <c r="B705" s="60" t="s">
        <v>1289</v>
      </c>
      <c r="C705" s="54" t="s">
        <v>492</v>
      </c>
      <c r="D705" s="55"/>
      <c r="F705" s="60">
        <v>110</v>
      </c>
      <c r="G705" s="60">
        <v>38.6</v>
      </c>
      <c r="H705" s="60">
        <v>51.5</v>
      </c>
      <c r="I705" s="60">
        <v>3.7</v>
      </c>
      <c r="J705" s="60">
        <v>3</v>
      </c>
      <c r="K705" s="60">
        <v>3.2</v>
      </c>
      <c r="L705" s="63"/>
      <c r="O705" s="55"/>
      <c r="P705" s="52"/>
    </row>
    <row r="706" spans="2:16" x14ac:dyDescent="0.2">
      <c r="B706" s="52" t="s">
        <v>1290</v>
      </c>
      <c r="C706" s="54" t="s">
        <v>492</v>
      </c>
      <c r="D706" s="55"/>
      <c r="F706" s="60">
        <v>35</v>
      </c>
      <c r="G706" s="60">
        <v>24</v>
      </c>
      <c r="H706" s="60">
        <v>55</v>
      </c>
      <c r="I706" s="60">
        <v>4</v>
      </c>
      <c r="J706" s="60">
        <v>8</v>
      </c>
      <c r="K706" s="60">
        <v>9</v>
      </c>
      <c r="L706" s="63"/>
      <c r="O706" s="55"/>
      <c r="P706" s="52"/>
    </row>
    <row r="707" spans="2:16" x14ac:dyDescent="0.2">
      <c r="B707" s="60" t="s">
        <v>1291</v>
      </c>
      <c r="C707" s="54" t="s">
        <v>492</v>
      </c>
      <c r="D707" s="55"/>
      <c r="F707" s="60">
        <v>110</v>
      </c>
      <c r="G707" s="60">
        <v>24</v>
      </c>
      <c r="H707" s="60">
        <v>55</v>
      </c>
      <c r="I707" s="60">
        <v>4</v>
      </c>
      <c r="J707" s="60">
        <v>8</v>
      </c>
      <c r="K707" s="60">
        <v>9</v>
      </c>
      <c r="L707" s="63"/>
    </row>
    <row r="708" spans="2:16" x14ac:dyDescent="0.2">
      <c r="B708" s="52" t="s">
        <v>1284</v>
      </c>
      <c r="C708" s="54" t="s">
        <v>491</v>
      </c>
      <c r="D708" s="55"/>
      <c r="F708" s="60">
        <v>35</v>
      </c>
      <c r="G708" s="60">
        <v>33</v>
      </c>
      <c r="H708" s="60">
        <v>55</v>
      </c>
      <c r="I708" s="60">
        <v>3.8</v>
      </c>
      <c r="J708" s="60">
        <v>4</v>
      </c>
      <c r="K708" s="60">
        <v>4.2</v>
      </c>
      <c r="L708" s="63"/>
    </row>
    <row r="709" spans="2:16" x14ac:dyDescent="0.2">
      <c r="B709" s="60" t="s">
        <v>1287</v>
      </c>
      <c r="C709" s="54" t="s">
        <v>491</v>
      </c>
      <c r="D709" s="55"/>
      <c r="F709" s="60">
        <v>110</v>
      </c>
      <c r="G709" s="60">
        <v>35</v>
      </c>
      <c r="H709" s="60">
        <v>55</v>
      </c>
      <c r="I709" s="60">
        <v>3.8</v>
      </c>
      <c r="J709" s="60">
        <v>3</v>
      </c>
      <c r="K709" s="60">
        <v>3.2</v>
      </c>
      <c r="L709" s="63"/>
      <c r="M709" s="52"/>
      <c r="O709" s="55"/>
      <c r="P709" s="52"/>
    </row>
    <row r="710" spans="2:16" x14ac:dyDescent="0.2">
      <c r="B710" s="52" t="s">
        <v>1285</v>
      </c>
      <c r="C710" s="54" t="s">
        <v>491</v>
      </c>
      <c r="D710" s="55"/>
      <c r="F710" s="60">
        <v>35</v>
      </c>
      <c r="G710" s="60">
        <v>19</v>
      </c>
      <c r="H710" s="60">
        <v>60</v>
      </c>
      <c r="I710" s="60">
        <v>4</v>
      </c>
      <c r="J710" s="60">
        <v>8</v>
      </c>
      <c r="K710" s="60">
        <v>9</v>
      </c>
      <c r="L710" s="63"/>
      <c r="O710" s="55"/>
      <c r="P710" s="52"/>
    </row>
    <row r="711" spans="2:16" x14ac:dyDescent="0.2">
      <c r="B711" s="60" t="s">
        <v>1286</v>
      </c>
      <c r="C711" s="54" t="s">
        <v>491</v>
      </c>
      <c r="D711" s="55"/>
      <c r="F711" s="60">
        <v>110</v>
      </c>
      <c r="G711" s="60">
        <v>19</v>
      </c>
      <c r="H711" s="60">
        <v>60</v>
      </c>
      <c r="I711" s="60">
        <v>4</v>
      </c>
      <c r="J711" s="60">
        <v>8</v>
      </c>
      <c r="K711" s="60">
        <v>9</v>
      </c>
      <c r="L711" s="63"/>
    </row>
    <row r="714" spans="2:16" x14ac:dyDescent="0.2">
      <c r="B714" s="47" t="s">
        <v>1327</v>
      </c>
    </row>
    <row r="715" spans="2:16" x14ac:dyDescent="0.2">
      <c r="B715" s="60" t="s">
        <v>1262</v>
      </c>
      <c r="F715" s="60">
        <v>0.4</v>
      </c>
      <c r="G715" s="53">
        <v>0</v>
      </c>
      <c r="H715" s="53">
        <v>0</v>
      </c>
      <c r="I715" s="53">
        <v>0</v>
      </c>
      <c r="J715" s="53">
        <v>0</v>
      </c>
      <c r="K715" s="53">
        <v>100</v>
      </c>
    </row>
    <row r="716" spans="2:16" x14ac:dyDescent="0.2">
      <c r="B716" s="60" t="s">
        <v>1263</v>
      </c>
      <c r="F716" s="60">
        <v>10</v>
      </c>
      <c r="G716" s="53">
        <v>0</v>
      </c>
      <c r="H716" s="53">
        <v>0</v>
      </c>
      <c r="I716" s="53">
        <v>0</v>
      </c>
      <c r="J716" s="53">
        <v>0</v>
      </c>
      <c r="K716" s="53">
        <v>100</v>
      </c>
    </row>
    <row r="717" spans="2:16" x14ac:dyDescent="0.2">
      <c r="B717" s="60" t="s">
        <v>1264</v>
      </c>
      <c r="F717" s="60">
        <v>35</v>
      </c>
      <c r="G717" s="53">
        <v>0</v>
      </c>
      <c r="H717" s="53">
        <v>0</v>
      </c>
      <c r="I717" s="53">
        <v>0</v>
      </c>
      <c r="J717" s="53">
        <v>0</v>
      </c>
      <c r="K717" s="53">
        <v>100</v>
      </c>
    </row>
    <row r="718" spans="2:16" x14ac:dyDescent="0.2">
      <c r="B718" s="60" t="s">
        <v>1265</v>
      </c>
      <c r="F718" s="60">
        <v>110</v>
      </c>
      <c r="G718" s="53">
        <v>0</v>
      </c>
      <c r="H718" s="53">
        <v>0</v>
      </c>
      <c r="I718" s="53">
        <v>0</v>
      </c>
      <c r="J718" s="53">
        <v>0</v>
      </c>
      <c r="K718" s="53">
        <v>100</v>
      </c>
    </row>
  </sheetData>
  <sheetProtection formatCells="0" formatColumns="0" formatRows="0" insertColumns="0" insertRows="0" insertHyperlinks="0" deleteColumns="0" deleteRows="0" sort="0" autoFilter="0" pivotTables="0"/>
  <autoFilter ref="L1:L718"/>
  <sortState ref="B690:B691">
    <sortCondition ref="B690"/>
  </sortState>
  <dataConsolidate/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5"/>
  <dimension ref="A2:IQ182"/>
  <sheetViews>
    <sheetView zoomScale="90" zoomScaleNormal="90" workbookViewId="0">
      <pane xSplit="2" topLeftCell="C1" activePane="topRight" state="frozen"/>
      <selection activeCell="C8" sqref="C8"/>
      <selection pane="topRight" activeCell="C8" sqref="C8"/>
    </sheetView>
  </sheetViews>
  <sheetFormatPr defaultColWidth="9.140625" defaultRowHeight="12.75" x14ac:dyDescent="0.2"/>
  <cols>
    <col min="1" max="1" width="6.140625" style="373" customWidth="1"/>
    <col min="2" max="2" width="34.5703125" style="41" customWidth="1"/>
    <col min="3" max="5" width="9.140625" style="41"/>
    <col min="6" max="6" width="13.7109375" style="41" customWidth="1"/>
    <col min="7" max="8" width="9.140625" style="41"/>
    <col min="9" max="217" width="9.140625" style="145"/>
    <col min="218" max="219" width="9.140625" style="41"/>
    <col min="220" max="16384" width="9.140625" style="145"/>
  </cols>
  <sheetData>
    <row r="2" spans="1:251" x14ac:dyDescent="0.2">
      <c r="I2" s="145" t="s">
        <v>640</v>
      </c>
      <c r="T2" s="145" t="s">
        <v>646</v>
      </c>
      <c r="U2" s="145" t="s">
        <v>645</v>
      </c>
      <c r="V2" s="145" t="s">
        <v>644</v>
      </c>
      <c r="W2" s="145" t="s">
        <v>647</v>
      </c>
    </row>
    <row r="3" spans="1:251" x14ac:dyDescent="0.2">
      <c r="B3" s="41">
        <v>1</v>
      </c>
      <c r="C3" s="41">
        <f>B3+1</f>
        <v>2</v>
      </c>
      <c r="D3" s="41">
        <f t="shared" ref="D3:GH3" si="0">C3+1</f>
        <v>3</v>
      </c>
      <c r="E3" s="41">
        <f t="shared" si="0"/>
        <v>4</v>
      </c>
      <c r="F3" s="41">
        <f t="shared" si="0"/>
        <v>5</v>
      </c>
      <c r="G3" s="41">
        <f t="shared" ref="G3" si="1">F3+1</f>
        <v>6</v>
      </c>
      <c r="H3" s="41">
        <f t="shared" ref="H3" si="2">G3+1</f>
        <v>7</v>
      </c>
      <c r="I3" s="145">
        <f t="shared" ref="I3" si="3">H3+1</f>
        <v>8</v>
      </c>
      <c r="J3" s="145">
        <f>I3+1</f>
        <v>9</v>
      </c>
      <c r="K3" s="145">
        <f>J3+1</f>
        <v>10</v>
      </c>
      <c r="L3" s="145">
        <f>K3+1</f>
        <v>11</v>
      </c>
      <c r="M3" s="145">
        <f t="shared" ref="M3" si="4">L3+1</f>
        <v>12</v>
      </c>
      <c r="N3" s="145">
        <f t="shared" si="0"/>
        <v>13</v>
      </c>
      <c r="O3" s="145">
        <f t="shared" si="0"/>
        <v>14</v>
      </c>
      <c r="P3" s="145">
        <f t="shared" si="0"/>
        <v>15</v>
      </c>
      <c r="Q3" s="145">
        <f t="shared" si="0"/>
        <v>16</v>
      </c>
      <c r="R3" s="145">
        <f t="shared" si="0"/>
        <v>17</v>
      </c>
      <c r="S3" s="145">
        <f t="shared" si="0"/>
        <v>18</v>
      </c>
      <c r="T3" s="145">
        <f t="shared" ref="T3" si="5">S3+1</f>
        <v>19</v>
      </c>
      <c r="U3" s="145">
        <f>T3+1</f>
        <v>20</v>
      </c>
      <c r="V3" s="145">
        <f>U3+1</f>
        <v>21</v>
      </c>
      <c r="W3" s="145">
        <f>V3+1</f>
        <v>22</v>
      </c>
      <c r="X3" s="145">
        <f t="shared" ref="X3" si="6">W3+1</f>
        <v>23</v>
      </c>
      <c r="Y3" s="145">
        <f t="shared" si="0"/>
        <v>24</v>
      </c>
      <c r="Z3" s="145">
        <f t="shared" si="0"/>
        <v>25</v>
      </c>
      <c r="AA3" s="145">
        <f t="shared" si="0"/>
        <v>26</v>
      </c>
      <c r="AB3" s="145">
        <f t="shared" si="0"/>
        <v>27</v>
      </c>
      <c r="AC3" s="145">
        <f t="shared" si="0"/>
        <v>28</v>
      </c>
      <c r="AD3" s="145">
        <f t="shared" si="0"/>
        <v>29</v>
      </c>
      <c r="AE3" s="145">
        <f t="shared" ref="AE3" si="7">AD3+1</f>
        <v>30</v>
      </c>
      <c r="AF3" s="145">
        <f t="shared" ref="AF3" si="8">AE3+1</f>
        <v>31</v>
      </c>
      <c r="AG3" s="145">
        <f t="shared" ref="AG3" si="9">AF3+1</f>
        <v>32</v>
      </c>
      <c r="AH3" s="145">
        <f t="shared" ref="AH3" si="10">AG3+1</f>
        <v>33</v>
      </c>
      <c r="AI3" s="145">
        <f t="shared" ref="AI3" si="11">AH3+1</f>
        <v>34</v>
      </c>
      <c r="AJ3" s="145">
        <f t="shared" ref="AJ3" si="12">AI3+1</f>
        <v>35</v>
      </c>
      <c r="AK3" s="145">
        <f t="shared" ref="AK3" si="13">AJ3+1</f>
        <v>36</v>
      </c>
      <c r="AL3" s="145">
        <f t="shared" ref="AL3" si="14">AK3+1</f>
        <v>37</v>
      </c>
      <c r="AM3" s="145">
        <f t="shared" ref="AM3" si="15">AL3+1</f>
        <v>38</v>
      </c>
      <c r="AN3" s="145">
        <f t="shared" ref="AN3" si="16">AM3+1</f>
        <v>39</v>
      </c>
      <c r="AO3" s="145">
        <f t="shared" ref="AO3" si="17">AN3+1</f>
        <v>40</v>
      </c>
      <c r="AP3" s="145">
        <f t="shared" ref="AP3" si="18">AO3+1</f>
        <v>41</v>
      </c>
      <c r="AQ3" s="145">
        <f t="shared" ref="AQ3" si="19">AP3+1</f>
        <v>42</v>
      </c>
      <c r="AR3" s="145">
        <f t="shared" ref="AR3" si="20">AQ3+1</f>
        <v>43</v>
      </c>
      <c r="AS3" s="145">
        <f t="shared" ref="AS3" si="21">AR3+1</f>
        <v>44</v>
      </c>
      <c r="AT3" s="145">
        <f t="shared" ref="AT3" si="22">AS3+1</f>
        <v>45</v>
      </c>
      <c r="AU3" s="145">
        <f t="shared" ref="AU3" si="23">AT3+1</f>
        <v>46</v>
      </c>
      <c r="AV3" s="145">
        <f t="shared" ref="AV3" si="24">AU3+1</f>
        <v>47</v>
      </c>
      <c r="AW3" s="145">
        <f t="shared" ref="AW3" si="25">AV3+1</f>
        <v>48</v>
      </c>
      <c r="AX3" s="145">
        <f t="shared" ref="AX3" si="26">AW3+1</f>
        <v>49</v>
      </c>
      <c r="AY3" s="145">
        <f t="shared" ref="AY3" si="27">AX3+1</f>
        <v>50</v>
      </c>
      <c r="AZ3" s="145">
        <f t="shared" ref="AZ3" si="28">AY3+1</f>
        <v>51</v>
      </c>
      <c r="BA3" s="145">
        <f t="shared" ref="BA3" si="29">AZ3+1</f>
        <v>52</v>
      </c>
      <c r="BB3" s="145">
        <f t="shared" ref="BB3" si="30">BA3+1</f>
        <v>53</v>
      </c>
      <c r="BC3" s="145">
        <f>BB3+1</f>
        <v>54</v>
      </c>
      <c r="BD3" s="145">
        <f t="shared" si="0"/>
        <v>55</v>
      </c>
      <c r="BE3" s="145">
        <f t="shared" si="0"/>
        <v>56</v>
      </c>
      <c r="BF3" s="145">
        <f t="shared" si="0"/>
        <v>57</v>
      </c>
      <c r="BG3" s="145">
        <f t="shared" si="0"/>
        <v>58</v>
      </c>
      <c r="BH3" s="145">
        <f t="shared" si="0"/>
        <v>59</v>
      </c>
      <c r="BI3" s="145">
        <f t="shared" si="0"/>
        <v>60</v>
      </c>
      <c r="BJ3" s="145">
        <f t="shared" si="0"/>
        <v>61</v>
      </c>
      <c r="BK3" s="145">
        <f t="shared" ref="BK3" si="31">BJ3+1</f>
        <v>62</v>
      </c>
      <c r="BL3" s="145">
        <f t="shared" ref="BL3" si="32">BK3+1</f>
        <v>63</v>
      </c>
      <c r="BM3" s="145">
        <f t="shared" ref="BM3" si="33">BL3+1</f>
        <v>64</v>
      </c>
      <c r="BN3" s="145">
        <f t="shared" ref="BN3" si="34">BM3+1</f>
        <v>65</v>
      </c>
      <c r="BO3" s="145">
        <f t="shared" ref="BO3" si="35">BN3+1</f>
        <v>66</v>
      </c>
      <c r="BP3" s="145">
        <f t="shared" ref="BP3" si="36">BO3+1</f>
        <v>67</v>
      </c>
      <c r="BQ3" s="145">
        <f t="shared" ref="BQ3" si="37">BP3+1</f>
        <v>68</v>
      </c>
      <c r="BR3" s="145">
        <f t="shared" ref="BR3" si="38">BQ3+1</f>
        <v>69</v>
      </c>
      <c r="BS3" s="145">
        <f t="shared" ref="BS3" si="39">BR3+1</f>
        <v>70</v>
      </c>
      <c r="BT3" s="145">
        <f t="shared" ref="BT3" si="40">BS3+1</f>
        <v>71</v>
      </c>
      <c r="BU3" s="145">
        <f t="shared" ref="BU3" si="41">BT3+1</f>
        <v>72</v>
      </c>
      <c r="BV3" s="145">
        <f t="shared" ref="BV3" si="42">BU3+1</f>
        <v>73</v>
      </c>
      <c r="BW3" s="145">
        <f t="shared" ref="BW3" si="43">BV3+1</f>
        <v>74</v>
      </c>
      <c r="BX3" s="145">
        <f t="shared" ref="BX3" si="44">BW3+1</f>
        <v>75</v>
      </c>
      <c r="BY3" s="145">
        <f t="shared" ref="BY3" si="45">BX3+1</f>
        <v>76</v>
      </c>
      <c r="BZ3" s="145">
        <f t="shared" ref="BZ3" si="46">BY3+1</f>
        <v>77</v>
      </c>
      <c r="CA3" s="145">
        <f t="shared" ref="CA3" si="47">BZ3+1</f>
        <v>78</v>
      </c>
      <c r="CB3" s="145">
        <f t="shared" ref="CB3" si="48">CA3+1</f>
        <v>79</v>
      </c>
      <c r="CC3" s="145">
        <f t="shared" ref="CC3" si="49">CB3+1</f>
        <v>80</v>
      </c>
      <c r="CD3" s="145">
        <f t="shared" ref="CD3" si="50">CC3+1</f>
        <v>81</v>
      </c>
      <c r="CE3" s="145">
        <f t="shared" ref="CE3" si="51">CD3+1</f>
        <v>82</v>
      </c>
      <c r="CF3" s="145">
        <f t="shared" ref="CF3" si="52">CE3+1</f>
        <v>83</v>
      </c>
      <c r="CG3" s="145">
        <f t="shared" ref="CG3" si="53">CF3+1</f>
        <v>84</v>
      </c>
      <c r="CH3" s="145">
        <f t="shared" ref="CH3" si="54">CG3+1</f>
        <v>85</v>
      </c>
      <c r="CI3" s="145">
        <f>CH3+1</f>
        <v>86</v>
      </c>
      <c r="CJ3" s="145">
        <f t="shared" ref="CJ3" si="55">CI3+1</f>
        <v>87</v>
      </c>
      <c r="CK3" s="145">
        <f t="shared" ref="CK3" si="56">CJ3+1</f>
        <v>88</v>
      </c>
      <c r="CL3" s="145">
        <f t="shared" ref="CL3" si="57">CK3+1</f>
        <v>89</v>
      </c>
      <c r="CM3" s="145">
        <f t="shared" ref="CM3" si="58">CL3+1</f>
        <v>90</v>
      </c>
      <c r="CN3" s="145">
        <f t="shared" ref="CN3" si="59">CM3+1</f>
        <v>91</v>
      </c>
      <c r="CO3" s="145">
        <f t="shared" ref="CO3" si="60">CN3+1</f>
        <v>92</v>
      </c>
      <c r="CP3" s="145">
        <f t="shared" ref="CP3" si="61">CO3+1</f>
        <v>93</v>
      </c>
      <c r="CQ3" s="145">
        <f t="shared" ref="CQ3" si="62">CP3+1</f>
        <v>94</v>
      </c>
      <c r="CR3" s="145">
        <f t="shared" ref="CR3" si="63">CQ3+1</f>
        <v>95</v>
      </c>
      <c r="CS3" s="145">
        <f t="shared" ref="CS3" si="64">CR3+1</f>
        <v>96</v>
      </c>
      <c r="CT3" s="145">
        <f t="shared" ref="CT3" si="65">CS3+1</f>
        <v>97</v>
      </c>
      <c r="CU3" s="145">
        <f t="shared" ref="CU3" si="66">CT3+1</f>
        <v>98</v>
      </c>
      <c r="CV3" s="145">
        <f t="shared" ref="CV3" si="67">CU3+1</f>
        <v>99</v>
      </c>
      <c r="CW3" s="145">
        <f t="shared" ref="CW3" si="68">CV3+1</f>
        <v>100</v>
      </c>
      <c r="CX3" s="145">
        <f t="shared" ref="CX3" si="69">CW3+1</f>
        <v>101</v>
      </c>
      <c r="CY3" s="145">
        <f t="shared" ref="CY3" si="70">CX3+1</f>
        <v>102</v>
      </c>
      <c r="CZ3" s="145">
        <f t="shared" ref="CZ3" si="71">CY3+1</f>
        <v>103</v>
      </c>
      <c r="DA3" s="145">
        <f t="shared" ref="DA3" si="72">CZ3+1</f>
        <v>104</v>
      </c>
      <c r="DB3" s="145">
        <f t="shared" ref="DB3" si="73">DA3+1</f>
        <v>105</v>
      </c>
      <c r="DC3" s="145">
        <f t="shared" ref="DC3" si="74">DB3+1</f>
        <v>106</v>
      </c>
      <c r="DD3" s="145">
        <f t="shared" ref="DD3" si="75">DC3+1</f>
        <v>107</v>
      </c>
      <c r="DE3" s="145">
        <f t="shared" ref="DE3" si="76">DD3+1</f>
        <v>108</v>
      </c>
      <c r="DF3" s="145">
        <f t="shared" ref="DF3" si="77">DE3+1</f>
        <v>109</v>
      </c>
      <c r="DG3" s="145">
        <f t="shared" ref="DG3" si="78">DF3+1</f>
        <v>110</v>
      </c>
      <c r="DH3" s="145">
        <f t="shared" ref="DH3" si="79">DG3+1</f>
        <v>111</v>
      </c>
      <c r="DI3" s="145">
        <f t="shared" ref="DI3" si="80">DH3+1</f>
        <v>112</v>
      </c>
      <c r="DJ3" s="145">
        <f t="shared" ref="DJ3" si="81">DI3+1</f>
        <v>113</v>
      </c>
      <c r="DK3" s="145">
        <f t="shared" ref="DK3" si="82">DJ3+1</f>
        <v>114</v>
      </c>
      <c r="DL3" s="145">
        <f t="shared" ref="DL3" si="83">DK3+1</f>
        <v>115</v>
      </c>
      <c r="DM3" s="145">
        <f t="shared" ref="DM3" si="84">DL3+1</f>
        <v>116</v>
      </c>
      <c r="DN3" s="145">
        <f t="shared" ref="DN3" si="85">DM3+1</f>
        <v>117</v>
      </c>
      <c r="DO3" s="145">
        <f>DN3+1</f>
        <v>118</v>
      </c>
      <c r="DP3" s="145">
        <f t="shared" ref="DP3" si="86">DO3+1</f>
        <v>119</v>
      </c>
      <c r="DQ3" s="145">
        <f t="shared" ref="DQ3" si="87">DP3+1</f>
        <v>120</v>
      </c>
      <c r="DR3" s="145">
        <f t="shared" ref="DR3" si="88">DQ3+1</f>
        <v>121</v>
      </c>
      <c r="DS3" s="145">
        <f t="shared" ref="DS3" si="89">DR3+1</f>
        <v>122</v>
      </c>
      <c r="DT3" s="145">
        <f t="shared" ref="DT3" si="90">DS3+1</f>
        <v>123</v>
      </c>
      <c r="DU3" s="145">
        <f t="shared" ref="DU3" si="91">DT3+1</f>
        <v>124</v>
      </c>
      <c r="DV3" s="145">
        <f t="shared" ref="DV3" si="92">DU3+1</f>
        <v>125</v>
      </c>
      <c r="DW3" s="145">
        <f t="shared" ref="DW3" si="93">DV3+1</f>
        <v>126</v>
      </c>
      <c r="DX3" s="145">
        <f t="shared" ref="DX3" si="94">DW3+1</f>
        <v>127</v>
      </c>
      <c r="DY3" s="145">
        <f t="shared" ref="DY3:DZ3" si="95">DX3+1</f>
        <v>128</v>
      </c>
      <c r="DZ3" s="145">
        <f t="shared" si="95"/>
        <v>129</v>
      </c>
      <c r="EA3" s="145">
        <f t="shared" ref="EA3" si="96">DZ3+1</f>
        <v>130</v>
      </c>
      <c r="EB3" s="145">
        <f t="shared" ref="EB3" si="97">EA3+1</f>
        <v>131</v>
      </c>
      <c r="EC3" s="145">
        <f t="shared" ref="EC3" si="98">EB3+1</f>
        <v>132</v>
      </c>
      <c r="ED3" s="145">
        <f t="shared" ref="ED3" si="99">EC3+1</f>
        <v>133</v>
      </c>
      <c r="EE3" s="145">
        <f t="shared" ref="EE3" si="100">ED3+1</f>
        <v>134</v>
      </c>
      <c r="EF3" s="145">
        <f t="shared" ref="EF3" si="101">EE3+1</f>
        <v>135</v>
      </c>
      <c r="EG3" s="145">
        <f t="shared" ref="EG3" si="102">EF3+1</f>
        <v>136</v>
      </c>
      <c r="EH3" s="145">
        <f t="shared" ref="EH3" si="103">EG3+1</f>
        <v>137</v>
      </c>
      <c r="EI3" s="145">
        <f t="shared" ref="EI3" si="104">EH3+1</f>
        <v>138</v>
      </c>
      <c r="EJ3" s="145">
        <f t="shared" ref="EJ3" si="105">EI3+1</f>
        <v>139</v>
      </c>
      <c r="EK3" s="145">
        <f t="shared" ref="EK3" si="106">EJ3+1</f>
        <v>140</v>
      </c>
      <c r="EL3" s="145">
        <f t="shared" ref="EL3" si="107">EK3+1</f>
        <v>141</v>
      </c>
      <c r="EM3" s="145">
        <f t="shared" ref="EM3" si="108">EL3+1</f>
        <v>142</v>
      </c>
      <c r="EN3" s="145">
        <f t="shared" ref="EN3" si="109">EM3+1</f>
        <v>143</v>
      </c>
      <c r="EO3" s="145">
        <f t="shared" ref="EO3" si="110">EN3+1</f>
        <v>144</v>
      </c>
      <c r="EP3" s="145">
        <f t="shared" ref="EP3" si="111">EO3+1</f>
        <v>145</v>
      </c>
      <c r="EQ3" s="145">
        <f t="shared" ref="EQ3" si="112">EP3+1</f>
        <v>146</v>
      </c>
      <c r="ER3" s="145">
        <f t="shared" ref="ER3" si="113">EQ3+1</f>
        <v>147</v>
      </c>
      <c r="ES3" s="145">
        <f t="shared" ref="ES3" si="114">ER3+1</f>
        <v>148</v>
      </c>
      <c r="ET3" s="145">
        <f t="shared" ref="ET3" si="115">ES3+1</f>
        <v>149</v>
      </c>
      <c r="EU3" s="145">
        <f>ET3+1</f>
        <v>150</v>
      </c>
      <c r="EV3" s="145">
        <f t="shared" ref="EV3" si="116">EU3+1</f>
        <v>151</v>
      </c>
      <c r="EW3" s="145">
        <f t="shared" si="0"/>
        <v>152</v>
      </c>
      <c r="EX3" s="145">
        <f t="shared" si="0"/>
        <v>153</v>
      </c>
      <c r="EY3" s="145">
        <f t="shared" si="0"/>
        <v>154</v>
      </c>
      <c r="EZ3" s="145">
        <f t="shared" si="0"/>
        <v>155</v>
      </c>
      <c r="FA3" s="145">
        <f t="shared" si="0"/>
        <v>156</v>
      </c>
      <c r="FB3" s="145">
        <f t="shared" si="0"/>
        <v>157</v>
      </c>
      <c r="FC3" s="145">
        <f t="shared" ref="FC3" si="117">FB3+1</f>
        <v>158</v>
      </c>
      <c r="FD3" s="145">
        <f t="shared" ref="FD3" si="118">FC3+1</f>
        <v>159</v>
      </c>
      <c r="FE3" s="145">
        <f t="shared" ref="FE3" si="119">FD3+1</f>
        <v>160</v>
      </c>
      <c r="FF3" s="145">
        <f t="shared" ref="FF3" si="120">FE3+1</f>
        <v>161</v>
      </c>
      <c r="FG3" s="145">
        <f t="shared" ref="FG3" si="121">FF3+1</f>
        <v>162</v>
      </c>
      <c r="FH3" s="145">
        <f t="shared" ref="FH3" si="122">FG3+1</f>
        <v>163</v>
      </c>
      <c r="FI3" s="145">
        <f t="shared" ref="FI3" si="123">FH3+1</f>
        <v>164</v>
      </c>
      <c r="FJ3" s="145">
        <f t="shared" ref="FJ3" si="124">FI3+1</f>
        <v>165</v>
      </c>
      <c r="FK3" s="145">
        <f t="shared" ref="FK3" si="125">FJ3+1</f>
        <v>166</v>
      </c>
      <c r="FL3" s="145">
        <f t="shared" ref="FL3" si="126">FK3+1</f>
        <v>167</v>
      </c>
      <c r="FM3" s="145">
        <f t="shared" ref="FM3" si="127">FL3+1</f>
        <v>168</v>
      </c>
      <c r="FN3" s="145">
        <f t="shared" ref="FN3" si="128">FM3+1</f>
        <v>169</v>
      </c>
      <c r="FO3" s="145">
        <f t="shared" ref="FO3" si="129">FN3+1</f>
        <v>170</v>
      </c>
      <c r="FP3" s="145">
        <f t="shared" ref="FP3" si="130">FO3+1</f>
        <v>171</v>
      </c>
      <c r="FQ3" s="145">
        <f t="shared" ref="FQ3" si="131">FP3+1</f>
        <v>172</v>
      </c>
      <c r="FR3" s="145">
        <f t="shared" ref="FR3" si="132">FQ3+1</f>
        <v>173</v>
      </c>
      <c r="FS3" s="145">
        <f t="shared" ref="FS3" si="133">FR3+1</f>
        <v>174</v>
      </c>
      <c r="FT3" s="145">
        <f t="shared" ref="FT3" si="134">FS3+1</f>
        <v>175</v>
      </c>
      <c r="FU3" s="145">
        <f t="shared" ref="FU3" si="135">FT3+1</f>
        <v>176</v>
      </c>
      <c r="FV3" s="145">
        <f t="shared" ref="FV3" si="136">FU3+1</f>
        <v>177</v>
      </c>
      <c r="FW3" s="145">
        <f t="shared" ref="FW3" si="137">FV3+1</f>
        <v>178</v>
      </c>
      <c r="FX3" s="145">
        <f t="shared" ref="FX3" si="138">FW3+1</f>
        <v>179</v>
      </c>
      <c r="FY3" s="145">
        <f t="shared" ref="FY3" si="139">FX3+1</f>
        <v>180</v>
      </c>
      <c r="FZ3" s="145">
        <f t="shared" ref="FZ3" si="140">FY3+1</f>
        <v>181</v>
      </c>
      <c r="GA3" s="145">
        <f>FZ3+1</f>
        <v>182</v>
      </c>
      <c r="GB3" s="145">
        <f t="shared" si="0"/>
        <v>183</v>
      </c>
      <c r="GC3" s="145">
        <f t="shared" si="0"/>
        <v>184</v>
      </c>
      <c r="GD3" s="145">
        <f t="shared" si="0"/>
        <v>185</v>
      </c>
      <c r="GE3" s="145">
        <f t="shared" si="0"/>
        <v>186</v>
      </c>
      <c r="GF3" s="145">
        <f t="shared" si="0"/>
        <v>187</v>
      </c>
      <c r="GG3" s="145">
        <f t="shared" si="0"/>
        <v>188</v>
      </c>
      <c r="GH3" s="145">
        <f t="shared" si="0"/>
        <v>189</v>
      </c>
      <c r="GI3" s="145">
        <f t="shared" ref="GI3" si="141">GH3+1</f>
        <v>190</v>
      </c>
      <c r="GJ3" s="145">
        <f t="shared" ref="GJ3" si="142">GI3+1</f>
        <v>191</v>
      </c>
      <c r="GK3" s="145">
        <f t="shared" ref="GK3" si="143">GJ3+1</f>
        <v>192</v>
      </c>
      <c r="GL3" s="145">
        <f t="shared" ref="GL3" si="144">GK3+1</f>
        <v>193</v>
      </c>
      <c r="GM3" s="145">
        <f t="shared" ref="GM3" si="145">GL3+1</f>
        <v>194</v>
      </c>
      <c r="GN3" s="145">
        <f t="shared" ref="GN3" si="146">GM3+1</f>
        <v>195</v>
      </c>
      <c r="GO3" s="145">
        <f t="shared" ref="GO3" si="147">GN3+1</f>
        <v>196</v>
      </c>
      <c r="GP3" s="145">
        <f t="shared" ref="GP3" si="148">GO3+1</f>
        <v>197</v>
      </c>
      <c r="GQ3" s="145">
        <f t="shared" ref="GQ3" si="149">GP3+1</f>
        <v>198</v>
      </c>
      <c r="GR3" s="145">
        <f t="shared" ref="GR3" si="150">GQ3+1</f>
        <v>199</v>
      </c>
      <c r="GS3" s="145">
        <f t="shared" ref="GS3" si="151">GR3+1</f>
        <v>200</v>
      </c>
      <c r="GT3" s="145">
        <f t="shared" ref="GT3" si="152">GS3+1</f>
        <v>201</v>
      </c>
      <c r="GU3" s="145">
        <f t="shared" ref="GU3" si="153">GT3+1</f>
        <v>202</v>
      </c>
      <c r="GV3" s="145">
        <f t="shared" ref="GV3" si="154">GU3+1</f>
        <v>203</v>
      </c>
      <c r="GW3" s="145">
        <f t="shared" ref="GW3" si="155">GV3+1</f>
        <v>204</v>
      </c>
      <c r="GX3" s="145">
        <f t="shared" ref="GX3" si="156">GW3+1</f>
        <v>205</v>
      </c>
      <c r="GY3" s="145">
        <f t="shared" ref="GY3" si="157">GX3+1</f>
        <v>206</v>
      </c>
      <c r="GZ3" s="145">
        <f t="shared" ref="GZ3" si="158">GY3+1</f>
        <v>207</v>
      </c>
      <c r="HA3" s="145">
        <f t="shared" ref="HA3" si="159">GZ3+1</f>
        <v>208</v>
      </c>
      <c r="HB3" s="145">
        <f t="shared" ref="HB3" si="160">HA3+1</f>
        <v>209</v>
      </c>
      <c r="HC3" s="145">
        <f t="shared" ref="HC3" si="161">HB3+1</f>
        <v>210</v>
      </c>
      <c r="HD3" s="145">
        <f t="shared" ref="HD3" si="162">HC3+1</f>
        <v>211</v>
      </c>
      <c r="HE3" s="145">
        <f t="shared" ref="HE3" si="163">HD3+1</f>
        <v>212</v>
      </c>
      <c r="HF3" s="145">
        <f t="shared" ref="HF3" si="164">HE3+1</f>
        <v>213</v>
      </c>
    </row>
    <row r="4" spans="1:251" x14ac:dyDescent="0.2">
      <c r="B4" s="146" t="s">
        <v>182</v>
      </c>
      <c r="C4" s="678" t="s">
        <v>177</v>
      </c>
      <c r="D4" s="678"/>
      <c r="E4" s="678"/>
      <c r="F4" s="678"/>
      <c r="G4" s="374"/>
      <c r="H4" s="374" t="s">
        <v>302</v>
      </c>
      <c r="I4" s="147" t="s">
        <v>638</v>
      </c>
      <c r="J4" s="147" t="s">
        <v>639</v>
      </c>
      <c r="K4" s="145" t="s">
        <v>641</v>
      </c>
      <c r="L4" s="145" t="s">
        <v>642</v>
      </c>
      <c r="M4" s="145" t="s">
        <v>245</v>
      </c>
      <c r="S4" s="145" t="s">
        <v>290</v>
      </c>
      <c r="T4" s="145">
        <f>IF('Расчет стоимости'!$G$12="приравн.",1.01,IF('Расчет стоимости'!$G$12="Крайний",1.02,1))</f>
        <v>1.02</v>
      </c>
      <c r="U4" s="145">
        <f>IF('Расчет стоимости'!$G$12="приравн.",1.01,IF('Расчет стоимости'!$G$12="Крайний",1.02,1))</f>
        <v>1.02</v>
      </c>
      <c r="V4" s="145">
        <f>IF('Расчет стоимости'!$G$12="приравн.",1.01,IF('Расчет стоимости'!$G$12="Крайний",1.02,1))</f>
        <v>1.02</v>
      </c>
      <c r="W4" s="145">
        <f>IF('Расчет стоимости'!$G$12="приравн.",1.01,IF('Расчет стоимости'!$G$12="Крайний",1.02,1))</f>
        <v>1.02</v>
      </c>
      <c r="X4" s="145" t="str">
        <f>IF('Расчет стоимости'!$P$11="","IV кв. 2012 г.",'Расчет стоимости'!$P$11)</f>
        <v>III кв. 2017 г.</v>
      </c>
      <c r="Z4" s="145" t="s">
        <v>261</v>
      </c>
      <c r="BD4" s="145" t="str">
        <f>$X$4</f>
        <v>III кв. 2017 г.</v>
      </c>
      <c r="BE4" s="145" t="s">
        <v>300</v>
      </c>
      <c r="CJ4" s="145" t="str">
        <f>$X$4</f>
        <v>III кв. 2017 г.</v>
      </c>
      <c r="CK4" s="145" t="s">
        <v>648</v>
      </c>
      <c r="DP4" s="145" t="str">
        <f>$X$4</f>
        <v>III кв. 2017 г.</v>
      </c>
      <c r="DQ4" s="145" t="s">
        <v>649</v>
      </c>
      <c r="EV4" s="145" t="str">
        <f>$X$4</f>
        <v>III кв. 2017 г.</v>
      </c>
      <c r="EW4" s="145" t="s">
        <v>301</v>
      </c>
      <c r="GB4" s="145" t="str">
        <f>$X$4</f>
        <v>III кв. 2017 г.</v>
      </c>
      <c r="GC4" s="145" t="s">
        <v>482</v>
      </c>
      <c r="HH4" s="145" t="s">
        <v>1314</v>
      </c>
      <c r="HN4" s="145" t="s">
        <v>305</v>
      </c>
    </row>
    <row r="5" spans="1:251" x14ac:dyDescent="0.2">
      <c r="A5" s="373">
        <v>1</v>
      </c>
      <c r="C5" s="41" t="s">
        <v>176</v>
      </c>
      <c r="D5" s="41" t="s">
        <v>173</v>
      </c>
      <c r="E5" s="41" t="s">
        <v>174</v>
      </c>
      <c r="F5" s="41" t="s">
        <v>175</v>
      </c>
      <c r="H5" s="41" t="s">
        <v>303</v>
      </c>
      <c r="I5" s="372" t="str">
        <f>IF('Расчет стоимости'!$G$11=0,"I",'Расчет стоимости'!$G$11)</f>
        <v>IV</v>
      </c>
      <c r="J5" s="372" t="str">
        <f>IF('Расчет стоимости'!$G$11=0,"I",'Расчет стоимости'!$G$11)</f>
        <v>IV</v>
      </c>
      <c r="K5" s="372" t="str">
        <f>IF('Расчет стоимости'!$G$11=0,"I",'Расчет стоимости'!$G$11)</f>
        <v>IV</v>
      </c>
      <c r="L5" s="372" t="str">
        <f>IF('Расчет стоимости'!$G$11=0,"I",'Расчет стоимости'!$G$11)</f>
        <v>IV</v>
      </c>
      <c r="M5" s="145" t="s">
        <v>187</v>
      </c>
      <c r="N5" s="145" t="s">
        <v>232</v>
      </c>
      <c r="O5" s="145" t="s">
        <v>233</v>
      </c>
      <c r="P5" s="145" t="s">
        <v>230</v>
      </c>
      <c r="Q5" s="145" t="s">
        <v>192</v>
      </c>
      <c r="R5" s="145" t="s">
        <v>231</v>
      </c>
      <c r="S5" s="145" t="s">
        <v>291</v>
      </c>
      <c r="T5" s="372" t="str">
        <f>IF('Расчет стоимости'!$G$11=0,"I",'Расчет стоимости'!$G$11)</f>
        <v>IV</v>
      </c>
      <c r="U5" s="372" t="str">
        <f>IF('Расчет стоимости'!$G$11=0,"I",'Расчет стоимости'!$G$11)</f>
        <v>IV</v>
      </c>
      <c r="V5" s="372" t="str">
        <f>IF('Расчет стоимости'!$G$11=0,"I",'Расчет стоимости'!$G$11)</f>
        <v>IV</v>
      </c>
      <c r="W5" s="372" t="str">
        <f>IF('Расчет стоимости'!$G$11=0,"I",'Расчет стоимости'!$G$11)</f>
        <v>IV</v>
      </c>
      <c r="X5" s="145" t="s">
        <v>289</v>
      </c>
      <c r="Y5" s="148" t="s">
        <v>82</v>
      </c>
      <c r="Z5" s="148" t="s">
        <v>86</v>
      </c>
      <c r="AA5" s="148" t="s">
        <v>87</v>
      </c>
      <c r="AB5" s="148" t="s">
        <v>88</v>
      </c>
      <c r="AC5" s="148" t="s">
        <v>89</v>
      </c>
      <c r="AD5" s="148" t="s">
        <v>90</v>
      </c>
      <c r="AE5" s="148" t="s">
        <v>91</v>
      </c>
      <c r="AF5" s="148" t="s">
        <v>92</v>
      </c>
      <c r="AG5" s="148" t="s">
        <v>93</v>
      </c>
      <c r="AH5" s="148" t="s">
        <v>94</v>
      </c>
      <c r="AI5" s="148" t="s">
        <v>95</v>
      </c>
      <c r="AJ5" s="148" t="s">
        <v>96</v>
      </c>
      <c r="AK5" s="148" t="s">
        <v>97</v>
      </c>
      <c r="AL5" s="148" t="s">
        <v>98</v>
      </c>
      <c r="AM5" s="148" t="s">
        <v>99</v>
      </c>
      <c r="AN5" s="148" t="s">
        <v>100</v>
      </c>
      <c r="AO5" s="148" t="s">
        <v>101</v>
      </c>
      <c r="AP5" s="148" t="s">
        <v>102</v>
      </c>
      <c r="AQ5" s="148" t="s">
        <v>103</v>
      </c>
      <c r="AR5" s="148" t="s">
        <v>104</v>
      </c>
      <c r="AS5" s="148" t="s">
        <v>105</v>
      </c>
      <c r="AT5" s="148" t="s">
        <v>106</v>
      </c>
      <c r="AU5" s="148" t="s">
        <v>107</v>
      </c>
      <c r="AV5" s="148" t="s">
        <v>108</v>
      </c>
      <c r="AW5" s="148" t="s">
        <v>109</v>
      </c>
      <c r="AX5" s="148" t="s">
        <v>110</v>
      </c>
      <c r="AY5" s="148" t="s">
        <v>111</v>
      </c>
      <c r="AZ5" s="148" t="s">
        <v>112</v>
      </c>
      <c r="BA5" s="148" t="s">
        <v>113</v>
      </c>
      <c r="BB5" s="148" t="s">
        <v>114</v>
      </c>
      <c r="BD5" s="145" t="s">
        <v>289</v>
      </c>
      <c r="BE5" s="148" t="s">
        <v>82</v>
      </c>
      <c r="BF5" s="148" t="s">
        <v>86</v>
      </c>
      <c r="BG5" s="148" t="s">
        <v>87</v>
      </c>
      <c r="BH5" s="148" t="s">
        <v>88</v>
      </c>
      <c r="BI5" s="148" t="s">
        <v>89</v>
      </c>
      <c r="BJ5" s="148" t="s">
        <v>90</v>
      </c>
      <c r="BK5" s="148" t="s">
        <v>91</v>
      </c>
      <c r="BL5" s="148" t="s">
        <v>92</v>
      </c>
      <c r="BM5" s="148" t="s">
        <v>93</v>
      </c>
      <c r="BN5" s="148" t="s">
        <v>94</v>
      </c>
      <c r="BO5" s="148" t="s">
        <v>95</v>
      </c>
      <c r="BP5" s="148" t="s">
        <v>96</v>
      </c>
      <c r="BQ5" s="148" t="s">
        <v>97</v>
      </c>
      <c r="BR5" s="148" t="s">
        <v>98</v>
      </c>
      <c r="BS5" s="148" t="s">
        <v>99</v>
      </c>
      <c r="BT5" s="148" t="s">
        <v>100</v>
      </c>
      <c r="BU5" s="148" t="s">
        <v>101</v>
      </c>
      <c r="BV5" s="148" t="s">
        <v>102</v>
      </c>
      <c r="BW5" s="148" t="s">
        <v>103</v>
      </c>
      <c r="BX5" s="148" t="s">
        <v>104</v>
      </c>
      <c r="BY5" s="148" t="s">
        <v>105</v>
      </c>
      <c r="BZ5" s="148" t="s">
        <v>106</v>
      </c>
      <c r="CA5" s="148" t="s">
        <v>107</v>
      </c>
      <c r="CB5" s="148" t="s">
        <v>108</v>
      </c>
      <c r="CC5" s="148" t="s">
        <v>109</v>
      </c>
      <c r="CD5" s="148" t="s">
        <v>110</v>
      </c>
      <c r="CE5" s="148" t="s">
        <v>111</v>
      </c>
      <c r="CF5" s="148" t="s">
        <v>112</v>
      </c>
      <c r="CG5" s="148" t="s">
        <v>113</v>
      </c>
      <c r="CH5" s="148" t="s">
        <v>114</v>
      </c>
      <c r="CI5" s="148"/>
      <c r="CJ5" s="145" t="s">
        <v>289</v>
      </c>
      <c r="CK5" s="148" t="s">
        <v>82</v>
      </c>
      <c r="CL5" s="148" t="s">
        <v>86</v>
      </c>
      <c r="CM5" s="148" t="s">
        <v>87</v>
      </c>
      <c r="CN5" s="148" t="s">
        <v>88</v>
      </c>
      <c r="CO5" s="148" t="s">
        <v>89</v>
      </c>
      <c r="CP5" s="148" t="s">
        <v>90</v>
      </c>
      <c r="CQ5" s="148" t="s">
        <v>91</v>
      </c>
      <c r="CR5" s="148" t="s">
        <v>92</v>
      </c>
      <c r="CS5" s="148" t="s">
        <v>93</v>
      </c>
      <c r="CT5" s="148" t="s">
        <v>94</v>
      </c>
      <c r="CU5" s="148" t="s">
        <v>95</v>
      </c>
      <c r="CV5" s="148" t="s">
        <v>96</v>
      </c>
      <c r="CW5" s="148" t="s">
        <v>97</v>
      </c>
      <c r="CX5" s="148" t="s">
        <v>98</v>
      </c>
      <c r="CY5" s="148" t="s">
        <v>99</v>
      </c>
      <c r="CZ5" s="148" t="s">
        <v>100</v>
      </c>
      <c r="DA5" s="148" t="s">
        <v>101</v>
      </c>
      <c r="DB5" s="148" t="s">
        <v>102</v>
      </c>
      <c r="DC5" s="148" t="s">
        <v>103</v>
      </c>
      <c r="DD5" s="148" t="s">
        <v>104</v>
      </c>
      <c r="DE5" s="148" t="s">
        <v>105</v>
      </c>
      <c r="DF5" s="148" t="s">
        <v>106</v>
      </c>
      <c r="DG5" s="148" t="s">
        <v>107</v>
      </c>
      <c r="DH5" s="148" t="s">
        <v>108</v>
      </c>
      <c r="DI5" s="148" t="s">
        <v>109</v>
      </c>
      <c r="DJ5" s="148" t="s">
        <v>110</v>
      </c>
      <c r="DK5" s="148" t="s">
        <v>111</v>
      </c>
      <c r="DL5" s="148" t="s">
        <v>112</v>
      </c>
      <c r="DM5" s="148" t="s">
        <v>113</v>
      </c>
      <c r="DN5" s="148" t="s">
        <v>114</v>
      </c>
      <c r="DO5" s="148"/>
      <c r="DP5" s="145" t="s">
        <v>289</v>
      </c>
      <c r="DQ5" s="148" t="s">
        <v>82</v>
      </c>
      <c r="DR5" s="148" t="s">
        <v>86</v>
      </c>
      <c r="DS5" s="148" t="s">
        <v>87</v>
      </c>
      <c r="DT5" s="148" t="s">
        <v>88</v>
      </c>
      <c r="DU5" s="148" t="s">
        <v>89</v>
      </c>
      <c r="DV5" s="148" t="s">
        <v>90</v>
      </c>
      <c r="DW5" s="148" t="s">
        <v>91</v>
      </c>
      <c r="DX5" s="148" t="s">
        <v>92</v>
      </c>
      <c r="DY5" s="148" t="s">
        <v>93</v>
      </c>
      <c r="DZ5" s="148" t="s">
        <v>94</v>
      </c>
      <c r="EA5" s="148" t="s">
        <v>95</v>
      </c>
      <c r="EB5" s="148" t="s">
        <v>96</v>
      </c>
      <c r="EC5" s="148" t="s">
        <v>97</v>
      </c>
      <c r="ED5" s="148" t="s">
        <v>98</v>
      </c>
      <c r="EE5" s="148" t="s">
        <v>99</v>
      </c>
      <c r="EF5" s="148" t="s">
        <v>100</v>
      </c>
      <c r="EG5" s="148" t="s">
        <v>101</v>
      </c>
      <c r="EH5" s="148" t="s">
        <v>102</v>
      </c>
      <c r="EI5" s="148" t="s">
        <v>103</v>
      </c>
      <c r="EJ5" s="148" t="s">
        <v>104</v>
      </c>
      <c r="EK5" s="148" t="s">
        <v>105</v>
      </c>
      <c r="EL5" s="148" t="s">
        <v>106</v>
      </c>
      <c r="EM5" s="148" t="s">
        <v>107</v>
      </c>
      <c r="EN5" s="148" t="s">
        <v>108</v>
      </c>
      <c r="EO5" s="148" t="s">
        <v>109</v>
      </c>
      <c r="EP5" s="148" t="s">
        <v>110</v>
      </c>
      <c r="EQ5" s="148" t="s">
        <v>111</v>
      </c>
      <c r="ER5" s="148" t="s">
        <v>112</v>
      </c>
      <c r="ES5" s="148" t="s">
        <v>113</v>
      </c>
      <c r="ET5" s="148" t="s">
        <v>114</v>
      </c>
      <c r="EU5" s="148"/>
      <c r="EV5" s="145" t="s">
        <v>289</v>
      </c>
      <c r="EW5" s="148" t="s">
        <v>82</v>
      </c>
      <c r="EX5" s="148" t="s">
        <v>86</v>
      </c>
      <c r="EY5" s="148" t="s">
        <v>87</v>
      </c>
      <c r="EZ5" s="148" t="s">
        <v>88</v>
      </c>
      <c r="FA5" s="148" t="s">
        <v>89</v>
      </c>
      <c r="FB5" s="148" t="s">
        <v>90</v>
      </c>
      <c r="FC5" s="148" t="s">
        <v>91</v>
      </c>
      <c r="FD5" s="148" t="s">
        <v>92</v>
      </c>
      <c r="FE5" s="148" t="s">
        <v>93</v>
      </c>
      <c r="FF5" s="148" t="s">
        <v>94</v>
      </c>
      <c r="FG5" s="148" t="s">
        <v>95</v>
      </c>
      <c r="FH5" s="148" t="s">
        <v>96</v>
      </c>
      <c r="FI5" s="148" t="s">
        <v>97</v>
      </c>
      <c r="FJ5" s="148" t="s">
        <v>98</v>
      </c>
      <c r="FK5" s="148" t="s">
        <v>99</v>
      </c>
      <c r="FL5" s="148" t="s">
        <v>100</v>
      </c>
      <c r="FM5" s="148" t="s">
        <v>101</v>
      </c>
      <c r="FN5" s="148" t="s">
        <v>102</v>
      </c>
      <c r="FO5" s="148" t="s">
        <v>103</v>
      </c>
      <c r="FP5" s="148" t="s">
        <v>104</v>
      </c>
      <c r="FQ5" s="148" t="s">
        <v>105</v>
      </c>
      <c r="FR5" s="148" t="s">
        <v>106</v>
      </c>
      <c r="FS5" s="148" t="s">
        <v>107</v>
      </c>
      <c r="FT5" s="148" t="s">
        <v>108</v>
      </c>
      <c r="FU5" s="148" t="s">
        <v>109</v>
      </c>
      <c r="FV5" s="148" t="s">
        <v>110</v>
      </c>
      <c r="FW5" s="148" t="s">
        <v>111</v>
      </c>
      <c r="FX5" s="148" t="s">
        <v>112</v>
      </c>
      <c r="FY5" s="148" t="s">
        <v>113</v>
      </c>
      <c r="FZ5" s="148" t="s">
        <v>114</v>
      </c>
      <c r="GB5" s="145" t="s">
        <v>289</v>
      </c>
      <c r="GC5" s="148" t="s">
        <v>82</v>
      </c>
      <c r="GD5" s="148" t="s">
        <v>86</v>
      </c>
      <c r="GE5" s="148" t="s">
        <v>87</v>
      </c>
      <c r="GF5" s="148" t="s">
        <v>88</v>
      </c>
      <c r="GG5" s="148" t="s">
        <v>89</v>
      </c>
      <c r="GH5" s="148" t="s">
        <v>90</v>
      </c>
      <c r="GI5" s="148" t="s">
        <v>91</v>
      </c>
      <c r="GJ5" s="148" t="s">
        <v>92</v>
      </c>
      <c r="GK5" s="148" t="s">
        <v>93</v>
      </c>
      <c r="GL5" s="148" t="s">
        <v>94</v>
      </c>
      <c r="GM5" s="148" t="s">
        <v>95</v>
      </c>
      <c r="GN5" s="148" t="s">
        <v>96</v>
      </c>
      <c r="GO5" s="148" t="s">
        <v>97</v>
      </c>
      <c r="GP5" s="148" t="s">
        <v>98</v>
      </c>
      <c r="GQ5" s="148" t="s">
        <v>99</v>
      </c>
      <c r="GR5" s="148" t="s">
        <v>100</v>
      </c>
      <c r="GS5" s="148" t="s">
        <v>101</v>
      </c>
      <c r="GT5" s="148" t="s">
        <v>102</v>
      </c>
      <c r="GU5" s="148" t="s">
        <v>103</v>
      </c>
      <c r="GV5" s="148" t="s">
        <v>104</v>
      </c>
      <c r="GW5" s="148" t="s">
        <v>105</v>
      </c>
      <c r="GX5" s="148" t="s">
        <v>106</v>
      </c>
      <c r="GY5" s="148" t="s">
        <v>107</v>
      </c>
      <c r="GZ5" s="148" t="s">
        <v>108</v>
      </c>
      <c r="HA5" s="148" t="s">
        <v>109</v>
      </c>
      <c r="HB5" s="148" t="s">
        <v>110</v>
      </c>
      <c r="HC5" s="148" t="s">
        <v>111</v>
      </c>
      <c r="HD5" s="148" t="s">
        <v>112</v>
      </c>
      <c r="HE5" s="148" t="s">
        <v>113</v>
      </c>
      <c r="HF5" s="148" t="s">
        <v>114</v>
      </c>
      <c r="HH5" s="145" t="s">
        <v>246</v>
      </c>
      <c r="HI5" s="373">
        <v>1</v>
      </c>
      <c r="HJ5" s="228">
        <v>2</v>
      </c>
      <c r="HK5" s="228">
        <v>3</v>
      </c>
      <c r="HL5" s="373" t="s">
        <v>1315</v>
      </c>
      <c r="HM5" s="145" t="s">
        <v>1318</v>
      </c>
      <c r="HN5" s="145" t="s">
        <v>239</v>
      </c>
      <c r="HO5" s="145" t="s">
        <v>241</v>
      </c>
      <c r="HP5" s="145" t="s">
        <v>234</v>
      </c>
      <c r="HQ5" s="145" t="s">
        <v>236</v>
      </c>
      <c r="HR5" s="145" t="s">
        <v>242</v>
      </c>
      <c r="HS5" s="145" t="s">
        <v>243</v>
      </c>
      <c r="HT5" s="145" t="s">
        <v>244</v>
      </c>
      <c r="HU5" s="145" t="s">
        <v>267</v>
      </c>
      <c r="HV5" s="145" t="s">
        <v>268</v>
      </c>
      <c r="HW5" s="145" t="s">
        <v>186</v>
      </c>
      <c r="HX5" s="145" t="s">
        <v>269</v>
      </c>
      <c r="HY5" s="145" t="s">
        <v>270</v>
      </c>
      <c r="HZ5" s="145" t="s">
        <v>271</v>
      </c>
      <c r="IA5" s="145" t="s">
        <v>272</v>
      </c>
      <c r="IB5" s="145" t="s">
        <v>273</v>
      </c>
      <c r="IC5" s="145" t="s">
        <v>274</v>
      </c>
      <c r="ID5" s="145" t="s">
        <v>275</v>
      </c>
      <c r="IE5" s="145" t="s">
        <v>276</v>
      </c>
      <c r="IF5" s="145" t="s">
        <v>277</v>
      </c>
      <c r="IG5" s="145" t="s">
        <v>278</v>
      </c>
      <c r="IH5" s="145" t="s">
        <v>279</v>
      </c>
      <c r="II5" s="145" t="s">
        <v>280</v>
      </c>
      <c r="IJ5" s="145" t="s">
        <v>281</v>
      </c>
      <c r="IK5" s="145" t="s">
        <v>282</v>
      </c>
      <c r="IL5" s="145" t="s">
        <v>283</v>
      </c>
      <c r="IM5" s="145" t="s">
        <v>284</v>
      </c>
      <c r="IN5" s="145" t="s">
        <v>285</v>
      </c>
      <c r="IO5" s="145" t="s">
        <v>286</v>
      </c>
      <c r="IP5" s="145" t="s">
        <v>288</v>
      </c>
      <c r="IQ5" s="145" t="s">
        <v>287</v>
      </c>
    </row>
    <row r="6" spans="1:251" ht="12.75" hidden="1" customHeight="1" x14ac:dyDescent="0.2">
      <c r="A6" s="373">
        <f>A5+1</f>
        <v>2</v>
      </c>
      <c r="B6" s="149" t="s">
        <v>139</v>
      </c>
      <c r="C6" s="150">
        <v>0.95399999999999996</v>
      </c>
      <c r="D6" s="150">
        <v>0.94</v>
      </c>
      <c r="E6" s="150">
        <v>0.93799999999999994</v>
      </c>
      <c r="F6" s="150">
        <v>1.18</v>
      </c>
      <c r="G6" s="150"/>
      <c r="H6" s="226">
        <f ca="1">OFFSET($HH6,0,'Расчет стоимости'!$M$10,1,1)</f>
        <v>1</v>
      </c>
      <c r="I6" s="150">
        <v>1</v>
      </c>
      <c r="J6" s="150">
        <v>1</v>
      </c>
      <c r="K6" s="149">
        <v>1</v>
      </c>
      <c r="L6" s="149">
        <v>1</v>
      </c>
      <c r="M6" s="372">
        <v>2.1000000000000001E-2</v>
      </c>
      <c r="N6" s="145">
        <v>1.9E-2</v>
      </c>
      <c r="O6" s="145">
        <v>0.01</v>
      </c>
      <c r="P6" s="145">
        <v>3.2000000000000001E-2</v>
      </c>
      <c r="Q6" s="145">
        <v>0</v>
      </c>
      <c r="R6" s="152" t="s">
        <v>234</v>
      </c>
      <c r="S6" s="152"/>
      <c r="T6" s="225">
        <f t="shared" ref="T6:W25" si="165">IF(IFERROR(HLOOKUP(T$5,$HN$5:$IQ$91,$A6,FALSE),0)=0,1,HLOOKUP(T$5,$HN$5:$IQ$91,$A6,FALSE))</f>
        <v>1</v>
      </c>
      <c r="U6" s="225">
        <f t="shared" si="165"/>
        <v>1</v>
      </c>
      <c r="V6" s="225">
        <f t="shared" si="165"/>
        <v>1</v>
      </c>
      <c r="W6" s="225">
        <f t="shared" si="165"/>
        <v>1</v>
      </c>
      <c r="X6" s="145">
        <f t="shared" ref="X6:X37" si="166">HLOOKUP($X$4,Y$5:BB$91,$A6,FALSE)</f>
        <v>1</v>
      </c>
      <c r="Y6" s="145">
        <v>5.41</v>
      </c>
      <c r="Z6" s="145">
        <v>5.51</v>
      </c>
      <c r="AA6" s="145">
        <v>5.51</v>
      </c>
      <c r="AB6" s="145">
        <v>5.53</v>
      </c>
      <c r="AC6" s="145">
        <v>5.65</v>
      </c>
      <c r="AD6" s="41">
        <v>5.63</v>
      </c>
      <c r="AE6" s="41">
        <v>1</v>
      </c>
      <c r="AF6" s="41">
        <v>1</v>
      </c>
      <c r="AG6" s="41">
        <v>1</v>
      </c>
      <c r="AH6" s="41">
        <v>1</v>
      </c>
      <c r="AI6" s="41">
        <v>1</v>
      </c>
      <c r="AJ6" s="41">
        <v>1</v>
      </c>
      <c r="AK6" s="41">
        <v>1</v>
      </c>
      <c r="AL6" s="41">
        <v>1</v>
      </c>
      <c r="AM6" s="41">
        <v>1</v>
      </c>
      <c r="AN6" s="41">
        <v>1</v>
      </c>
      <c r="AO6" s="41">
        <v>1</v>
      </c>
      <c r="AP6" s="41">
        <v>1</v>
      </c>
      <c r="AQ6" s="41">
        <v>1</v>
      </c>
      <c r="AR6" s="41">
        <v>1</v>
      </c>
      <c r="AS6" s="41">
        <v>1</v>
      </c>
      <c r="AT6" s="41">
        <v>1</v>
      </c>
      <c r="AU6" s="41">
        <v>1</v>
      </c>
      <c r="AV6" s="41">
        <v>1</v>
      </c>
      <c r="AW6" s="41">
        <v>1</v>
      </c>
      <c r="AX6" s="41">
        <v>1</v>
      </c>
      <c r="AY6" s="41">
        <v>1</v>
      </c>
      <c r="AZ6" s="41">
        <v>1</v>
      </c>
      <c r="BA6" s="41">
        <v>1</v>
      </c>
      <c r="BB6" s="41">
        <v>1</v>
      </c>
      <c r="BD6" s="145">
        <f t="shared" ref="BD6:BD37" si="167">HLOOKUP($BD$4,BE$5:CH$91,$A6,FALSE)</f>
        <v>1</v>
      </c>
      <c r="BE6" s="145">
        <v>4.0999999999999996</v>
      </c>
      <c r="BF6" s="145">
        <v>4.13</v>
      </c>
      <c r="BG6" s="145">
        <v>4.13</v>
      </c>
      <c r="BH6" s="145">
        <v>4.1500000000000004</v>
      </c>
      <c r="BI6" s="145">
        <v>4.18</v>
      </c>
      <c r="BJ6" s="41">
        <v>4.16</v>
      </c>
      <c r="BK6" s="41">
        <v>1</v>
      </c>
      <c r="BL6" s="41">
        <v>1</v>
      </c>
      <c r="BM6" s="41">
        <v>1</v>
      </c>
      <c r="BN6" s="41">
        <v>1</v>
      </c>
      <c r="BO6" s="41">
        <v>1</v>
      </c>
      <c r="BP6" s="41">
        <v>1</v>
      </c>
      <c r="BQ6" s="41">
        <v>1</v>
      </c>
      <c r="BR6" s="41">
        <v>1</v>
      </c>
      <c r="BS6" s="41">
        <v>1</v>
      </c>
      <c r="BT6" s="41">
        <v>1</v>
      </c>
      <c r="BU6" s="41">
        <v>1</v>
      </c>
      <c r="BV6" s="41">
        <v>1</v>
      </c>
      <c r="BW6" s="41">
        <v>1</v>
      </c>
      <c r="BX6" s="41">
        <v>1</v>
      </c>
      <c r="BY6" s="41">
        <v>1</v>
      </c>
      <c r="BZ6" s="41">
        <v>1</v>
      </c>
      <c r="CA6" s="41">
        <v>1</v>
      </c>
      <c r="CB6" s="41">
        <v>1</v>
      </c>
      <c r="CC6" s="41">
        <v>1</v>
      </c>
      <c r="CD6" s="41">
        <v>1</v>
      </c>
      <c r="CE6" s="41">
        <v>1</v>
      </c>
      <c r="CF6" s="41">
        <v>1</v>
      </c>
      <c r="CG6" s="41">
        <v>1</v>
      </c>
      <c r="CH6" s="41">
        <v>1</v>
      </c>
      <c r="CJ6" s="145">
        <f t="shared" ref="CJ6:CJ37" si="168">HLOOKUP($CJ$4,CK$5:DN$91,$A6,FALSE)</f>
        <v>1</v>
      </c>
      <c r="CK6" s="145">
        <v>3.82</v>
      </c>
      <c r="CL6" s="145">
        <v>3.84</v>
      </c>
      <c r="CM6" s="145">
        <v>3.84</v>
      </c>
      <c r="CN6" s="145">
        <v>3.86</v>
      </c>
      <c r="CO6" s="145">
        <v>3.94</v>
      </c>
      <c r="CP6" s="41">
        <v>3.92</v>
      </c>
      <c r="CQ6" s="41">
        <v>1</v>
      </c>
      <c r="CR6" s="41">
        <v>1</v>
      </c>
      <c r="CS6" s="41">
        <v>1</v>
      </c>
      <c r="CT6" s="41">
        <v>1</v>
      </c>
      <c r="CU6" s="41">
        <v>1</v>
      </c>
      <c r="CV6" s="41">
        <v>1</v>
      </c>
      <c r="CW6" s="41">
        <v>1</v>
      </c>
      <c r="CX6" s="41">
        <v>1</v>
      </c>
      <c r="CY6" s="41">
        <v>1</v>
      </c>
      <c r="CZ6" s="41">
        <v>1</v>
      </c>
      <c r="DA6" s="41">
        <v>1</v>
      </c>
      <c r="DB6" s="41">
        <v>1</v>
      </c>
      <c r="DC6" s="41">
        <v>1</v>
      </c>
      <c r="DD6" s="41">
        <v>1</v>
      </c>
      <c r="DE6" s="41">
        <v>1</v>
      </c>
      <c r="DF6" s="41">
        <v>1</v>
      </c>
      <c r="DG6" s="41">
        <v>1</v>
      </c>
      <c r="DH6" s="41">
        <v>1</v>
      </c>
      <c r="DI6" s="41">
        <v>1</v>
      </c>
      <c r="DJ6" s="41">
        <v>1</v>
      </c>
      <c r="DK6" s="41">
        <v>1</v>
      </c>
      <c r="DL6" s="41">
        <v>1</v>
      </c>
      <c r="DM6" s="41">
        <v>1</v>
      </c>
      <c r="DN6" s="41">
        <v>1</v>
      </c>
      <c r="DP6" s="145">
        <f t="shared" ref="DP6:DP37" si="169">HLOOKUP($DP$4,DQ$5:ET$91,$A6,FALSE)</f>
        <v>1</v>
      </c>
      <c r="DQ6" s="145">
        <v>4.1500000000000004</v>
      </c>
      <c r="DR6" s="145">
        <v>4.22</v>
      </c>
      <c r="DS6" s="145">
        <v>4.22</v>
      </c>
      <c r="DT6" s="145">
        <v>4.24</v>
      </c>
      <c r="DU6" s="145">
        <v>4.33</v>
      </c>
      <c r="DV6" s="41">
        <v>4.3099999999999996</v>
      </c>
      <c r="DW6" s="41">
        <v>1</v>
      </c>
      <c r="DX6" s="41">
        <v>1</v>
      </c>
      <c r="DY6" s="41">
        <v>1</v>
      </c>
      <c r="DZ6" s="41">
        <v>1</v>
      </c>
      <c r="EA6" s="41">
        <v>1</v>
      </c>
      <c r="EB6" s="41">
        <v>1</v>
      </c>
      <c r="EC6" s="41">
        <v>1</v>
      </c>
      <c r="ED6" s="41">
        <v>1</v>
      </c>
      <c r="EE6" s="41">
        <v>1</v>
      </c>
      <c r="EF6" s="41">
        <v>1</v>
      </c>
      <c r="EG6" s="41">
        <v>1</v>
      </c>
      <c r="EH6" s="41">
        <v>1</v>
      </c>
      <c r="EI6" s="41">
        <v>1</v>
      </c>
      <c r="EJ6" s="41">
        <v>1</v>
      </c>
      <c r="EK6" s="41">
        <v>1</v>
      </c>
      <c r="EL6" s="41">
        <v>1</v>
      </c>
      <c r="EM6" s="41">
        <v>1</v>
      </c>
      <c r="EN6" s="41">
        <v>1</v>
      </c>
      <c r="EO6" s="41">
        <v>1</v>
      </c>
      <c r="EP6" s="41">
        <v>1</v>
      </c>
      <c r="EQ6" s="41">
        <v>1</v>
      </c>
      <c r="ER6" s="41">
        <v>1</v>
      </c>
      <c r="ES6" s="41">
        <v>1</v>
      </c>
      <c r="ET6" s="41">
        <v>1</v>
      </c>
      <c r="EV6" s="145">
        <f t="shared" ref="EV6:EV37" si="170">HLOOKUP($EV$4,EW$5:FZ$91,$A6,FALSE)</f>
        <v>1</v>
      </c>
      <c r="EW6" s="145">
        <v>3.99</v>
      </c>
      <c r="EX6" s="145">
        <v>4.03</v>
      </c>
      <c r="EY6" s="145">
        <v>4.03</v>
      </c>
      <c r="EZ6" s="145">
        <v>4.05</v>
      </c>
      <c r="FA6" s="145">
        <v>4.1399999999999997</v>
      </c>
      <c r="FB6" s="41">
        <v>4.12</v>
      </c>
      <c r="FC6" s="41">
        <v>1</v>
      </c>
      <c r="FD6" s="41">
        <v>1</v>
      </c>
      <c r="FE6" s="41">
        <v>1</v>
      </c>
      <c r="FF6" s="41">
        <v>1</v>
      </c>
      <c r="FG6" s="41">
        <v>1</v>
      </c>
      <c r="FH6" s="41">
        <v>1</v>
      </c>
      <c r="FI6" s="41">
        <v>1</v>
      </c>
      <c r="FJ6" s="41">
        <v>1</v>
      </c>
      <c r="FK6" s="41">
        <v>1</v>
      </c>
      <c r="FL6" s="41">
        <v>1</v>
      </c>
      <c r="FM6" s="41">
        <v>1</v>
      </c>
      <c r="FN6" s="41">
        <v>1</v>
      </c>
      <c r="FO6" s="41">
        <v>1</v>
      </c>
      <c r="FP6" s="41">
        <v>1</v>
      </c>
      <c r="FQ6" s="41">
        <v>1</v>
      </c>
      <c r="FR6" s="41">
        <v>1</v>
      </c>
      <c r="FS6" s="41">
        <v>1</v>
      </c>
      <c r="FT6" s="41">
        <v>1</v>
      </c>
      <c r="FU6" s="41">
        <v>1</v>
      </c>
      <c r="FV6" s="41">
        <v>1</v>
      </c>
      <c r="FW6" s="41">
        <v>1</v>
      </c>
      <c r="FX6" s="41">
        <v>1</v>
      </c>
      <c r="FY6" s="41">
        <v>1</v>
      </c>
      <c r="FZ6" s="41">
        <v>1</v>
      </c>
      <c r="GB6" s="145">
        <f t="shared" ref="GB6:GB37" si="171">HLOOKUP($GB$4,GC$5:HF$91,$A6,FALSE)</f>
        <v>1</v>
      </c>
      <c r="GC6" s="145">
        <v>9.91</v>
      </c>
      <c r="GD6" s="145">
        <v>10.11</v>
      </c>
      <c r="GE6" s="145">
        <v>10.11</v>
      </c>
      <c r="GF6" s="145">
        <v>10.15</v>
      </c>
      <c r="GG6" s="145">
        <v>10.36</v>
      </c>
      <c r="GH6" s="41">
        <v>10.32</v>
      </c>
      <c r="GI6" s="41">
        <v>1</v>
      </c>
      <c r="GJ6" s="41">
        <v>1</v>
      </c>
      <c r="GK6" s="41">
        <v>1</v>
      </c>
      <c r="GL6" s="41">
        <v>1</v>
      </c>
      <c r="GM6" s="41">
        <v>1</v>
      </c>
      <c r="GN6" s="41">
        <v>1</v>
      </c>
      <c r="GO6" s="41">
        <v>1</v>
      </c>
      <c r="GP6" s="41">
        <v>1</v>
      </c>
      <c r="GQ6" s="41">
        <v>1</v>
      </c>
      <c r="GR6" s="41">
        <v>1</v>
      </c>
      <c r="GS6" s="41">
        <v>1</v>
      </c>
      <c r="GT6" s="41">
        <v>1</v>
      </c>
      <c r="GU6" s="41">
        <v>1</v>
      </c>
      <c r="GV6" s="41">
        <v>1</v>
      </c>
      <c r="GW6" s="41">
        <v>1</v>
      </c>
      <c r="GX6" s="41">
        <v>1</v>
      </c>
      <c r="GY6" s="41">
        <v>1</v>
      </c>
      <c r="GZ6" s="41">
        <v>1</v>
      </c>
      <c r="HA6" s="41">
        <v>1</v>
      </c>
      <c r="HB6" s="41">
        <v>1</v>
      </c>
      <c r="HC6" s="41">
        <v>1</v>
      </c>
      <c r="HD6" s="41">
        <v>1</v>
      </c>
      <c r="HE6" s="41">
        <v>1</v>
      </c>
      <c r="HF6" s="41">
        <v>1</v>
      </c>
      <c r="HH6" s="373">
        <v>1</v>
      </c>
      <c r="HI6" s="218">
        <v>1</v>
      </c>
      <c r="HJ6" s="229">
        <v>1</v>
      </c>
      <c r="HK6" s="229">
        <v>1</v>
      </c>
      <c r="HL6" s="373">
        <v>1</v>
      </c>
      <c r="HM6" s="373">
        <f>COUNTIF($HN6:$IQ6,"&gt;0")</f>
        <v>1</v>
      </c>
      <c r="HN6" s="145">
        <v>1</v>
      </c>
    </row>
    <row r="7" spans="1:251" ht="12.75" hidden="1" customHeight="1" x14ac:dyDescent="0.2">
      <c r="A7" s="373">
        <f t="shared" ref="A7:A66" si="172">A6+1</f>
        <v>3</v>
      </c>
      <c r="B7" s="149" t="s">
        <v>126</v>
      </c>
      <c r="C7" s="150">
        <v>0.83499999999999996</v>
      </c>
      <c r="D7" s="150">
        <v>0.86599999999999999</v>
      </c>
      <c r="E7" s="150">
        <v>0.72599999999999998</v>
      </c>
      <c r="F7" s="150">
        <v>0.85199999999999998</v>
      </c>
      <c r="G7" s="150"/>
      <c r="H7" s="226">
        <f ca="1">OFFSET($HH7,0,'Расчет стоимости'!$M$10,1,1)</f>
        <v>1</v>
      </c>
      <c r="I7" s="150">
        <v>1</v>
      </c>
      <c r="J7" s="150">
        <v>1</v>
      </c>
      <c r="K7" s="149">
        <v>1</v>
      </c>
      <c r="L7" s="149">
        <v>1</v>
      </c>
      <c r="M7" s="372">
        <v>2.1000000000000001E-2</v>
      </c>
      <c r="N7" s="145">
        <v>1.9E-2</v>
      </c>
      <c r="O7" s="145">
        <v>0.01</v>
      </c>
      <c r="P7" s="145">
        <v>3.2000000000000001E-2</v>
      </c>
      <c r="Q7" s="145">
        <v>0</v>
      </c>
      <c r="R7" s="152" t="s">
        <v>234</v>
      </c>
      <c r="S7" s="152"/>
      <c r="T7" s="225">
        <f t="shared" si="165"/>
        <v>1.0549999999999999</v>
      </c>
      <c r="U7" s="225">
        <f t="shared" si="165"/>
        <v>1.0549999999999999</v>
      </c>
      <c r="V7" s="225">
        <f t="shared" si="165"/>
        <v>1.0549999999999999</v>
      </c>
      <c r="W7" s="225">
        <f t="shared" si="165"/>
        <v>1.0549999999999999</v>
      </c>
      <c r="X7" s="145">
        <f t="shared" si="166"/>
        <v>1</v>
      </c>
      <c r="Y7" s="145">
        <v>5.61</v>
      </c>
      <c r="Z7" s="145">
        <v>5.73</v>
      </c>
      <c r="AA7" s="145">
        <v>5.73</v>
      </c>
      <c r="AB7" s="145">
        <v>5.75</v>
      </c>
      <c r="AC7" s="145">
        <v>5.87</v>
      </c>
      <c r="AD7" s="41">
        <v>5.85</v>
      </c>
      <c r="AE7" s="41">
        <v>1</v>
      </c>
      <c r="AF7" s="41">
        <v>1</v>
      </c>
      <c r="AG7" s="41">
        <v>1</v>
      </c>
      <c r="AH7" s="41">
        <v>1</v>
      </c>
      <c r="AI7" s="41">
        <v>1</v>
      </c>
      <c r="AJ7" s="41">
        <v>1</v>
      </c>
      <c r="AK7" s="41">
        <v>1</v>
      </c>
      <c r="AL7" s="41">
        <v>1</v>
      </c>
      <c r="AM7" s="41">
        <v>1</v>
      </c>
      <c r="AN7" s="41">
        <v>1</v>
      </c>
      <c r="AO7" s="41">
        <v>1</v>
      </c>
      <c r="AP7" s="41">
        <v>1</v>
      </c>
      <c r="AQ7" s="41">
        <v>1</v>
      </c>
      <c r="AR7" s="41">
        <v>1</v>
      </c>
      <c r="AS7" s="41">
        <v>1</v>
      </c>
      <c r="AT7" s="41">
        <v>1</v>
      </c>
      <c r="AU7" s="41">
        <v>1</v>
      </c>
      <c r="AV7" s="41">
        <v>1</v>
      </c>
      <c r="AW7" s="41">
        <v>1</v>
      </c>
      <c r="AX7" s="41">
        <v>1</v>
      </c>
      <c r="AY7" s="41">
        <v>1</v>
      </c>
      <c r="AZ7" s="41">
        <v>1</v>
      </c>
      <c r="BA7" s="41">
        <v>1</v>
      </c>
      <c r="BB7" s="41">
        <v>1</v>
      </c>
      <c r="BD7" s="145">
        <f t="shared" si="167"/>
        <v>1</v>
      </c>
      <c r="BE7" s="145">
        <v>3.53</v>
      </c>
      <c r="BF7" s="145">
        <v>3.6</v>
      </c>
      <c r="BG7" s="145">
        <v>3.6</v>
      </c>
      <c r="BH7" s="145">
        <v>3.61</v>
      </c>
      <c r="BI7" s="145">
        <v>3.69</v>
      </c>
      <c r="BJ7" s="41">
        <v>3.68</v>
      </c>
      <c r="BK7" s="41">
        <v>1</v>
      </c>
      <c r="BL7" s="41">
        <v>1</v>
      </c>
      <c r="BM7" s="41">
        <v>1</v>
      </c>
      <c r="BN7" s="41">
        <v>1</v>
      </c>
      <c r="BO7" s="41">
        <v>1</v>
      </c>
      <c r="BP7" s="41">
        <v>1</v>
      </c>
      <c r="BQ7" s="41">
        <v>1</v>
      </c>
      <c r="BR7" s="41">
        <v>1</v>
      </c>
      <c r="BS7" s="41">
        <v>1</v>
      </c>
      <c r="BT7" s="41">
        <v>1</v>
      </c>
      <c r="BU7" s="41">
        <v>1</v>
      </c>
      <c r="BV7" s="41">
        <v>1</v>
      </c>
      <c r="BW7" s="41">
        <v>1</v>
      </c>
      <c r="BX7" s="41">
        <v>1</v>
      </c>
      <c r="BY7" s="41">
        <v>1</v>
      </c>
      <c r="BZ7" s="41">
        <v>1</v>
      </c>
      <c r="CA7" s="41">
        <v>1</v>
      </c>
      <c r="CB7" s="41">
        <v>1</v>
      </c>
      <c r="CC7" s="41">
        <v>1</v>
      </c>
      <c r="CD7" s="41">
        <v>1</v>
      </c>
      <c r="CE7" s="41">
        <v>1</v>
      </c>
      <c r="CF7" s="41">
        <v>1</v>
      </c>
      <c r="CG7" s="41">
        <v>1</v>
      </c>
      <c r="CH7" s="41">
        <v>1</v>
      </c>
      <c r="CJ7" s="145">
        <f t="shared" si="168"/>
        <v>1</v>
      </c>
      <c r="CK7" s="145">
        <v>3.79</v>
      </c>
      <c r="CL7" s="145">
        <v>3.85</v>
      </c>
      <c r="CM7" s="145">
        <v>3.85</v>
      </c>
      <c r="CN7" s="145">
        <v>3.87</v>
      </c>
      <c r="CO7" s="145">
        <v>3.95</v>
      </c>
      <c r="CP7" s="41">
        <v>3.93</v>
      </c>
      <c r="CQ7" s="41">
        <v>1</v>
      </c>
      <c r="CR7" s="41">
        <v>1</v>
      </c>
      <c r="CS7" s="41">
        <v>1</v>
      </c>
      <c r="CT7" s="41">
        <v>1</v>
      </c>
      <c r="CU7" s="41">
        <v>1</v>
      </c>
      <c r="CV7" s="41">
        <v>1</v>
      </c>
      <c r="CW7" s="41">
        <v>1</v>
      </c>
      <c r="CX7" s="41">
        <v>1</v>
      </c>
      <c r="CY7" s="41">
        <v>1</v>
      </c>
      <c r="CZ7" s="41">
        <v>1</v>
      </c>
      <c r="DA7" s="41">
        <v>1</v>
      </c>
      <c r="DB7" s="41">
        <v>1</v>
      </c>
      <c r="DC7" s="41">
        <v>1</v>
      </c>
      <c r="DD7" s="41">
        <v>1</v>
      </c>
      <c r="DE7" s="41">
        <v>1</v>
      </c>
      <c r="DF7" s="41">
        <v>1</v>
      </c>
      <c r="DG7" s="41">
        <v>1</v>
      </c>
      <c r="DH7" s="41">
        <v>1</v>
      </c>
      <c r="DI7" s="41">
        <v>1</v>
      </c>
      <c r="DJ7" s="41">
        <v>1</v>
      </c>
      <c r="DK7" s="41">
        <v>1</v>
      </c>
      <c r="DL7" s="41">
        <v>1</v>
      </c>
      <c r="DM7" s="41">
        <v>1</v>
      </c>
      <c r="DN7" s="41">
        <v>1</v>
      </c>
      <c r="DP7" s="145">
        <f t="shared" si="169"/>
        <v>1</v>
      </c>
      <c r="DQ7" s="145">
        <v>4.28</v>
      </c>
      <c r="DR7" s="145">
        <v>4.3600000000000003</v>
      </c>
      <c r="DS7" s="145">
        <v>4.3600000000000003</v>
      </c>
      <c r="DT7" s="145">
        <v>4.38</v>
      </c>
      <c r="DU7" s="145">
        <v>4.47</v>
      </c>
      <c r="DV7" s="41">
        <v>4.45</v>
      </c>
      <c r="DW7" s="41">
        <v>1</v>
      </c>
      <c r="DX7" s="41">
        <v>1</v>
      </c>
      <c r="DY7" s="41">
        <v>1</v>
      </c>
      <c r="DZ7" s="41">
        <v>1</v>
      </c>
      <c r="EA7" s="41">
        <v>1</v>
      </c>
      <c r="EB7" s="41">
        <v>1</v>
      </c>
      <c r="EC7" s="41">
        <v>1</v>
      </c>
      <c r="ED7" s="41">
        <v>1</v>
      </c>
      <c r="EE7" s="41">
        <v>1</v>
      </c>
      <c r="EF7" s="41">
        <v>1</v>
      </c>
      <c r="EG7" s="41">
        <v>1</v>
      </c>
      <c r="EH7" s="41">
        <v>1</v>
      </c>
      <c r="EI7" s="41">
        <v>1</v>
      </c>
      <c r="EJ7" s="41">
        <v>1</v>
      </c>
      <c r="EK7" s="41">
        <v>1</v>
      </c>
      <c r="EL7" s="41">
        <v>1</v>
      </c>
      <c r="EM7" s="41">
        <v>1</v>
      </c>
      <c r="EN7" s="41">
        <v>1</v>
      </c>
      <c r="EO7" s="41">
        <v>1</v>
      </c>
      <c r="EP7" s="41">
        <v>1</v>
      </c>
      <c r="EQ7" s="41">
        <v>1</v>
      </c>
      <c r="ER7" s="41">
        <v>1</v>
      </c>
      <c r="ES7" s="41">
        <v>1</v>
      </c>
      <c r="ET7" s="41">
        <v>1</v>
      </c>
      <c r="EV7" s="145">
        <f t="shared" si="170"/>
        <v>1</v>
      </c>
      <c r="EW7" s="145">
        <v>4.09</v>
      </c>
      <c r="EX7" s="145">
        <v>4.1399999999999997</v>
      </c>
      <c r="EY7" s="145">
        <v>4.1399999999999997</v>
      </c>
      <c r="EZ7" s="145">
        <v>4.16</v>
      </c>
      <c r="FA7" s="145">
        <v>4.25</v>
      </c>
      <c r="FB7" s="41">
        <v>4.2300000000000004</v>
      </c>
      <c r="FC7" s="41">
        <v>1</v>
      </c>
      <c r="FD7" s="41">
        <v>1</v>
      </c>
      <c r="FE7" s="41">
        <v>1</v>
      </c>
      <c r="FF7" s="41">
        <v>1</v>
      </c>
      <c r="FG7" s="41">
        <v>1</v>
      </c>
      <c r="FH7" s="41">
        <v>1</v>
      </c>
      <c r="FI7" s="41">
        <v>1</v>
      </c>
      <c r="FJ7" s="41">
        <v>1</v>
      </c>
      <c r="FK7" s="41">
        <v>1</v>
      </c>
      <c r="FL7" s="41">
        <v>1</v>
      </c>
      <c r="FM7" s="41">
        <v>1</v>
      </c>
      <c r="FN7" s="41">
        <v>1</v>
      </c>
      <c r="FO7" s="41">
        <v>1</v>
      </c>
      <c r="FP7" s="41">
        <v>1</v>
      </c>
      <c r="FQ7" s="41">
        <v>1</v>
      </c>
      <c r="FR7" s="41">
        <v>1</v>
      </c>
      <c r="FS7" s="41">
        <v>1</v>
      </c>
      <c r="FT7" s="41">
        <v>1</v>
      </c>
      <c r="FU7" s="41">
        <v>1</v>
      </c>
      <c r="FV7" s="41">
        <v>1</v>
      </c>
      <c r="FW7" s="41">
        <v>1</v>
      </c>
      <c r="FX7" s="41">
        <v>1</v>
      </c>
      <c r="FY7" s="41">
        <v>1</v>
      </c>
      <c r="FZ7" s="41">
        <v>1</v>
      </c>
      <c r="GB7" s="145">
        <f t="shared" si="171"/>
        <v>1</v>
      </c>
      <c r="GC7" s="145">
        <v>9.7100000000000009</v>
      </c>
      <c r="GD7" s="145">
        <v>9.91</v>
      </c>
      <c r="GE7" s="145">
        <v>9.91</v>
      </c>
      <c r="GF7" s="145">
        <v>9.9499999999999993</v>
      </c>
      <c r="GG7" s="145">
        <v>10.16</v>
      </c>
      <c r="GH7" s="41">
        <v>10.119999999999999</v>
      </c>
      <c r="GI7" s="41">
        <v>1</v>
      </c>
      <c r="GJ7" s="41">
        <v>1</v>
      </c>
      <c r="GK7" s="41">
        <v>1</v>
      </c>
      <c r="GL7" s="41">
        <v>1</v>
      </c>
      <c r="GM7" s="41">
        <v>1</v>
      </c>
      <c r="GN7" s="41">
        <v>1</v>
      </c>
      <c r="GO7" s="41">
        <v>1</v>
      </c>
      <c r="GP7" s="41">
        <v>1</v>
      </c>
      <c r="GQ7" s="41">
        <v>1</v>
      </c>
      <c r="GR7" s="41">
        <v>1</v>
      </c>
      <c r="GS7" s="41">
        <v>1</v>
      </c>
      <c r="GT7" s="41">
        <v>1</v>
      </c>
      <c r="GU7" s="41">
        <v>1</v>
      </c>
      <c r="GV7" s="41">
        <v>1</v>
      </c>
      <c r="GW7" s="41">
        <v>1</v>
      </c>
      <c r="GX7" s="41">
        <v>1</v>
      </c>
      <c r="GY7" s="41">
        <v>1</v>
      </c>
      <c r="GZ7" s="41">
        <v>1</v>
      </c>
      <c r="HA7" s="41">
        <v>1</v>
      </c>
      <c r="HB7" s="41">
        <v>1</v>
      </c>
      <c r="HC7" s="41">
        <v>1</v>
      </c>
      <c r="HD7" s="41">
        <v>1</v>
      </c>
      <c r="HE7" s="41">
        <v>1</v>
      </c>
      <c r="HF7" s="41">
        <v>1</v>
      </c>
      <c r="HH7" s="373">
        <v>1</v>
      </c>
      <c r="HI7" s="218">
        <v>1</v>
      </c>
      <c r="HJ7" s="229">
        <v>1</v>
      </c>
      <c r="HK7" s="229">
        <v>1</v>
      </c>
      <c r="HL7" s="373">
        <v>2</v>
      </c>
      <c r="HM7" s="373">
        <f t="shared" ref="HM7:HM70" si="173">COUNTIF($HN7:$IQ7,"&gt;0")</f>
        <v>4</v>
      </c>
      <c r="HN7" s="145">
        <v>1</v>
      </c>
      <c r="HO7" s="145">
        <v>1.0149999999999999</v>
      </c>
      <c r="HP7" s="145">
        <v>1.0349999999999999</v>
      </c>
      <c r="HQ7" s="145">
        <v>1.0549999999999999</v>
      </c>
    </row>
    <row r="8" spans="1:251" ht="12.75" hidden="1" customHeight="1" x14ac:dyDescent="0.2">
      <c r="A8" s="373">
        <f t="shared" si="172"/>
        <v>4</v>
      </c>
      <c r="B8" s="149" t="s">
        <v>127</v>
      </c>
      <c r="C8" s="150">
        <v>1</v>
      </c>
      <c r="D8" s="150">
        <v>0.99199999999999999</v>
      </c>
      <c r="E8" s="150">
        <v>1</v>
      </c>
      <c r="F8" s="150">
        <v>1.087</v>
      </c>
      <c r="G8" s="150"/>
      <c r="H8" s="226">
        <f ca="1">OFFSET($HH8,0,'Расчет стоимости'!$M$10,1,1)</f>
        <v>1</v>
      </c>
      <c r="I8" s="150">
        <v>1</v>
      </c>
      <c r="J8" s="150">
        <v>1</v>
      </c>
      <c r="K8" s="149">
        <v>1</v>
      </c>
      <c r="L8" s="149">
        <v>1</v>
      </c>
      <c r="M8" s="372">
        <v>2.1000000000000001E-2</v>
      </c>
      <c r="N8" s="145">
        <v>1.9E-2</v>
      </c>
      <c r="O8" s="145">
        <v>0.01</v>
      </c>
      <c r="P8" s="145">
        <v>3.2000000000000001E-2</v>
      </c>
      <c r="Q8" s="145">
        <v>0</v>
      </c>
      <c r="R8" s="152" t="s">
        <v>234</v>
      </c>
      <c r="S8" s="152"/>
      <c r="T8" s="225">
        <f t="shared" si="165"/>
        <v>1</v>
      </c>
      <c r="U8" s="225">
        <f t="shared" si="165"/>
        <v>1</v>
      </c>
      <c r="V8" s="225">
        <f t="shared" si="165"/>
        <v>1</v>
      </c>
      <c r="W8" s="225">
        <f t="shared" si="165"/>
        <v>1</v>
      </c>
      <c r="X8" s="145">
        <f t="shared" si="166"/>
        <v>1</v>
      </c>
      <c r="Y8" s="145">
        <v>5.97</v>
      </c>
      <c r="Z8" s="145">
        <v>5.99</v>
      </c>
      <c r="AA8" s="145">
        <v>5.99</v>
      </c>
      <c r="AB8" s="145">
        <v>6.01</v>
      </c>
      <c r="AC8" s="145">
        <v>6.14</v>
      </c>
      <c r="AD8" s="41">
        <v>6.12</v>
      </c>
      <c r="AE8" s="41">
        <v>1</v>
      </c>
      <c r="AF8" s="41">
        <v>1</v>
      </c>
      <c r="AG8" s="41">
        <v>1</v>
      </c>
      <c r="AH8" s="41">
        <v>1</v>
      </c>
      <c r="AI8" s="41">
        <v>1</v>
      </c>
      <c r="AJ8" s="41">
        <v>1</v>
      </c>
      <c r="AK8" s="41">
        <v>1</v>
      </c>
      <c r="AL8" s="41">
        <v>1</v>
      </c>
      <c r="AM8" s="41">
        <v>1</v>
      </c>
      <c r="AN8" s="41">
        <v>1</v>
      </c>
      <c r="AO8" s="41">
        <v>1</v>
      </c>
      <c r="AP8" s="41">
        <v>1</v>
      </c>
      <c r="AQ8" s="41">
        <v>1</v>
      </c>
      <c r="AR8" s="41">
        <v>1</v>
      </c>
      <c r="AS8" s="41">
        <v>1</v>
      </c>
      <c r="AT8" s="41">
        <v>1</v>
      </c>
      <c r="AU8" s="41">
        <v>1</v>
      </c>
      <c r="AV8" s="41">
        <v>1</v>
      </c>
      <c r="AW8" s="41">
        <v>1</v>
      </c>
      <c r="AX8" s="41">
        <v>1</v>
      </c>
      <c r="AY8" s="41">
        <v>1</v>
      </c>
      <c r="AZ8" s="41">
        <v>1</v>
      </c>
      <c r="BA8" s="41">
        <v>1</v>
      </c>
      <c r="BB8" s="41">
        <v>1</v>
      </c>
      <c r="BD8" s="145">
        <f t="shared" si="167"/>
        <v>1</v>
      </c>
      <c r="BE8" s="145">
        <v>3.52</v>
      </c>
      <c r="BF8" s="145">
        <v>3.59</v>
      </c>
      <c r="BG8" s="145">
        <v>3.59</v>
      </c>
      <c r="BH8" s="145">
        <v>3.6</v>
      </c>
      <c r="BI8" s="145">
        <v>3.68</v>
      </c>
      <c r="BJ8" s="41">
        <v>3.67</v>
      </c>
      <c r="BK8" s="41">
        <v>1</v>
      </c>
      <c r="BL8" s="41">
        <v>1</v>
      </c>
      <c r="BM8" s="41">
        <v>1</v>
      </c>
      <c r="BN8" s="41">
        <v>1</v>
      </c>
      <c r="BO8" s="41">
        <v>1</v>
      </c>
      <c r="BP8" s="41">
        <v>1</v>
      </c>
      <c r="BQ8" s="41">
        <v>1</v>
      </c>
      <c r="BR8" s="41">
        <v>1</v>
      </c>
      <c r="BS8" s="41">
        <v>1</v>
      </c>
      <c r="BT8" s="41">
        <v>1</v>
      </c>
      <c r="BU8" s="41">
        <v>1</v>
      </c>
      <c r="BV8" s="41">
        <v>1</v>
      </c>
      <c r="BW8" s="41">
        <v>1</v>
      </c>
      <c r="BX8" s="41">
        <v>1</v>
      </c>
      <c r="BY8" s="41">
        <v>1</v>
      </c>
      <c r="BZ8" s="41">
        <v>1</v>
      </c>
      <c r="CA8" s="41">
        <v>1</v>
      </c>
      <c r="CB8" s="41">
        <v>1</v>
      </c>
      <c r="CC8" s="41">
        <v>1</v>
      </c>
      <c r="CD8" s="41">
        <v>1</v>
      </c>
      <c r="CE8" s="41">
        <v>1</v>
      </c>
      <c r="CF8" s="41">
        <v>1</v>
      </c>
      <c r="CG8" s="41">
        <v>1</v>
      </c>
      <c r="CH8" s="41">
        <v>1</v>
      </c>
      <c r="CJ8" s="145">
        <f t="shared" si="168"/>
        <v>1</v>
      </c>
      <c r="CK8" s="145">
        <v>3.87</v>
      </c>
      <c r="CL8" s="145">
        <v>3.7</v>
      </c>
      <c r="CM8" s="145">
        <v>3.7</v>
      </c>
      <c r="CN8" s="145">
        <v>3.71</v>
      </c>
      <c r="CO8" s="145">
        <v>3.79</v>
      </c>
      <c r="CP8" s="41">
        <v>3.77</v>
      </c>
      <c r="CQ8" s="41">
        <v>1</v>
      </c>
      <c r="CR8" s="41">
        <v>1</v>
      </c>
      <c r="CS8" s="41">
        <v>1</v>
      </c>
      <c r="CT8" s="41">
        <v>1</v>
      </c>
      <c r="CU8" s="41">
        <v>1</v>
      </c>
      <c r="CV8" s="41">
        <v>1</v>
      </c>
      <c r="CW8" s="41">
        <v>1</v>
      </c>
      <c r="CX8" s="41">
        <v>1</v>
      </c>
      <c r="CY8" s="41">
        <v>1</v>
      </c>
      <c r="CZ8" s="41">
        <v>1</v>
      </c>
      <c r="DA8" s="41">
        <v>1</v>
      </c>
      <c r="DB8" s="41">
        <v>1</v>
      </c>
      <c r="DC8" s="41">
        <v>1</v>
      </c>
      <c r="DD8" s="41">
        <v>1</v>
      </c>
      <c r="DE8" s="41">
        <v>1</v>
      </c>
      <c r="DF8" s="41">
        <v>1</v>
      </c>
      <c r="DG8" s="41">
        <v>1</v>
      </c>
      <c r="DH8" s="41">
        <v>1</v>
      </c>
      <c r="DI8" s="41">
        <v>1</v>
      </c>
      <c r="DJ8" s="41">
        <v>1</v>
      </c>
      <c r="DK8" s="41">
        <v>1</v>
      </c>
      <c r="DL8" s="41">
        <v>1</v>
      </c>
      <c r="DM8" s="41">
        <v>1</v>
      </c>
      <c r="DN8" s="41">
        <v>1</v>
      </c>
      <c r="DP8" s="145">
        <f t="shared" si="169"/>
        <v>1</v>
      </c>
      <c r="DQ8" s="145">
        <v>4.43</v>
      </c>
      <c r="DR8" s="145">
        <v>4.3</v>
      </c>
      <c r="DS8" s="145">
        <v>4.3</v>
      </c>
      <c r="DT8" s="145">
        <v>4.32</v>
      </c>
      <c r="DU8" s="145">
        <v>4.41</v>
      </c>
      <c r="DV8" s="41">
        <v>4.3899999999999997</v>
      </c>
      <c r="DW8" s="41">
        <v>1</v>
      </c>
      <c r="DX8" s="41">
        <v>1</v>
      </c>
      <c r="DY8" s="41">
        <v>1</v>
      </c>
      <c r="DZ8" s="41">
        <v>1</v>
      </c>
      <c r="EA8" s="41">
        <v>1</v>
      </c>
      <c r="EB8" s="41">
        <v>1</v>
      </c>
      <c r="EC8" s="41">
        <v>1</v>
      </c>
      <c r="ED8" s="41">
        <v>1</v>
      </c>
      <c r="EE8" s="41">
        <v>1</v>
      </c>
      <c r="EF8" s="41">
        <v>1</v>
      </c>
      <c r="EG8" s="41">
        <v>1</v>
      </c>
      <c r="EH8" s="41">
        <v>1</v>
      </c>
      <c r="EI8" s="41">
        <v>1</v>
      </c>
      <c r="EJ8" s="41">
        <v>1</v>
      </c>
      <c r="EK8" s="41">
        <v>1</v>
      </c>
      <c r="EL8" s="41">
        <v>1</v>
      </c>
      <c r="EM8" s="41">
        <v>1</v>
      </c>
      <c r="EN8" s="41">
        <v>1</v>
      </c>
      <c r="EO8" s="41">
        <v>1</v>
      </c>
      <c r="EP8" s="41">
        <v>1</v>
      </c>
      <c r="EQ8" s="41">
        <v>1</v>
      </c>
      <c r="ER8" s="41">
        <v>1</v>
      </c>
      <c r="ES8" s="41">
        <v>1</v>
      </c>
      <c r="ET8" s="41">
        <v>1</v>
      </c>
      <c r="EV8" s="145">
        <f t="shared" si="170"/>
        <v>1</v>
      </c>
      <c r="EW8" s="145">
        <v>4.2</v>
      </c>
      <c r="EX8" s="145">
        <v>4.03</v>
      </c>
      <c r="EY8" s="145">
        <v>4.03</v>
      </c>
      <c r="EZ8" s="145">
        <v>4.05</v>
      </c>
      <c r="FA8" s="145">
        <v>4.1399999999999997</v>
      </c>
      <c r="FB8" s="41">
        <v>4.12</v>
      </c>
      <c r="FC8" s="41">
        <v>1</v>
      </c>
      <c r="FD8" s="41">
        <v>1</v>
      </c>
      <c r="FE8" s="41">
        <v>1</v>
      </c>
      <c r="FF8" s="41">
        <v>1</v>
      </c>
      <c r="FG8" s="41">
        <v>1</v>
      </c>
      <c r="FH8" s="41">
        <v>1</v>
      </c>
      <c r="FI8" s="41">
        <v>1</v>
      </c>
      <c r="FJ8" s="41">
        <v>1</v>
      </c>
      <c r="FK8" s="41">
        <v>1</v>
      </c>
      <c r="FL8" s="41">
        <v>1</v>
      </c>
      <c r="FM8" s="41">
        <v>1</v>
      </c>
      <c r="FN8" s="41">
        <v>1</v>
      </c>
      <c r="FO8" s="41">
        <v>1</v>
      </c>
      <c r="FP8" s="41">
        <v>1</v>
      </c>
      <c r="FQ8" s="41">
        <v>1</v>
      </c>
      <c r="FR8" s="41">
        <v>1</v>
      </c>
      <c r="FS8" s="41">
        <v>1</v>
      </c>
      <c r="FT8" s="41">
        <v>1</v>
      </c>
      <c r="FU8" s="41">
        <v>1</v>
      </c>
      <c r="FV8" s="41">
        <v>1</v>
      </c>
      <c r="FW8" s="41">
        <v>1</v>
      </c>
      <c r="FX8" s="41">
        <v>1</v>
      </c>
      <c r="FY8" s="41">
        <v>1</v>
      </c>
      <c r="FZ8" s="41">
        <v>1</v>
      </c>
      <c r="GB8" s="145">
        <f t="shared" si="171"/>
        <v>1</v>
      </c>
      <c r="GC8" s="145">
        <v>11.23</v>
      </c>
      <c r="GD8" s="145">
        <v>11.16</v>
      </c>
      <c r="GE8" s="145">
        <v>11.16</v>
      </c>
      <c r="GF8" s="145">
        <v>11.2</v>
      </c>
      <c r="GG8" s="145">
        <v>11.44</v>
      </c>
      <c r="GH8" s="41">
        <v>11.39</v>
      </c>
      <c r="GI8" s="41">
        <v>1</v>
      </c>
      <c r="GJ8" s="41">
        <v>1</v>
      </c>
      <c r="GK8" s="41">
        <v>1</v>
      </c>
      <c r="GL8" s="41">
        <v>1</v>
      </c>
      <c r="GM8" s="41">
        <v>1</v>
      </c>
      <c r="GN8" s="41">
        <v>1</v>
      </c>
      <c r="GO8" s="41">
        <v>1</v>
      </c>
      <c r="GP8" s="41">
        <v>1</v>
      </c>
      <c r="GQ8" s="41">
        <v>1</v>
      </c>
      <c r="GR8" s="41">
        <v>1</v>
      </c>
      <c r="GS8" s="41">
        <v>1</v>
      </c>
      <c r="GT8" s="41">
        <v>1</v>
      </c>
      <c r="GU8" s="41">
        <v>1</v>
      </c>
      <c r="GV8" s="41">
        <v>1</v>
      </c>
      <c r="GW8" s="41">
        <v>1</v>
      </c>
      <c r="GX8" s="41">
        <v>1</v>
      </c>
      <c r="GY8" s="41">
        <v>1</v>
      </c>
      <c r="GZ8" s="41">
        <v>1</v>
      </c>
      <c r="HA8" s="41">
        <v>1</v>
      </c>
      <c r="HB8" s="41">
        <v>1</v>
      </c>
      <c r="HC8" s="41">
        <v>1</v>
      </c>
      <c r="HD8" s="41">
        <v>1</v>
      </c>
      <c r="HE8" s="41">
        <v>1</v>
      </c>
      <c r="HF8" s="41">
        <v>1</v>
      </c>
      <c r="HH8" s="373">
        <v>1</v>
      </c>
      <c r="HI8" s="218">
        <v>1</v>
      </c>
      <c r="HJ8" s="229">
        <v>1</v>
      </c>
      <c r="HK8" s="229">
        <v>1</v>
      </c>
      <c r="HL8" s="373">
        <v>3</v>
      </c>
      <c r="HM8" s="373">
        <f t="shared" si="173"/>
        <v>1</v>
      </c>
      <c r="HN8" s="145">
        <v>1</v>
      </c>
    </row>
    <row r="9" spans="1:251" ht="12.75" hidden="1" customHeight="1" x14ac:dyDescent="0.2">
      <c r="A9" s="373">
        <f t="shared" si="172"/>
        <v>5</v>
      </c>
      <c r="B9" s="149" t="s">
        <v>140</v>
      </c>
      <c r="C9" s="150">
        <v>0.88</v>
      </c>
      <c r="D9" s="150">
        <v>0.83699999999999997</v>
      </c>
      <c r="E9" s="150">
        <v>0.999</v>
      </c>
      <c r="F9" s="150">
        <v>0.94</v>
      </c>
      <c r="G9" s="150"/>
      <c r="H9" s="226">
        <f ca="1">OFFSET($HH9,0,'Расчет стоимости'!$M$10,1,1)</f>
        <v>1</v>
      </c>
      <c r="I9" s="150">
        <v>1</v>
      </c>
      <c r="J9" s="150">
        <v>1</v>
      </c>
      <c r="K9" s="149">
        <v>1</v>
      </c>
      <c r="L9" s="149">
        <v>1</v>
      </c>
      <c r="M9" s="372">
        <v>2.1000000000000001E-2</v>
      </c>
      <c r="N9" s="145">
        <v>1.9E-2</v>
      </c>
      <c r="O9" s="145">
        <v>0.01</v>
      </c>
      <c r="P9" s="145">
        <v>3.2000000000000001E-2</v>
      </c>
      <c r="Q9" s="145">
        <v>0</v>
      </c>
      <c r="R9" s="152" t="s">
        <v>234</v>
      </c>
      <c r="S9" s="152"/>
      <c r="T9" s="225">
        <f t="shared" si="165"/>
        <v>1</v>
      </c>
      <c r="U9" s="225">
        <f t="shared" si="165"/>
        <v>1</v>
      </c>
      <c r="V9" s="225">
        <f t="shared" si="165"/>
        <v>1</v>
      </c>
      <c r="W9" s="225">
        <f t="shared" si="165"/>
        <v>1</v>
      </c>
      <c r="X9" s="145">
        <f t="shared" si="166"/>
        <v>1</v>
      </c>
      <c r="Y9" s="145">
        <v>5.91</v>
      </c>
      <c r="Z9" s="145">
        <v>5.91</v>
      </c>
      <c r="AA9" s="145">
        <v>5.91</v>
      </c>
      <c r="AB9" s="145">
        <v>5.93</v>
      </c>
      <c r="AC9" s="145">
        <v>6.05</v>
      </c>
      <c r="AD9" s="41">
        <v>6.03</v>
      </c>
      <c r="AE9" s="41">
        <v>1</v>
      </c>
      <c r="AF9" s="41">
        <v>1</v>
      </c>
      <c r="AG9" s="41">
        <v>1</v>
      </c>
      <c r="AH9" s="41">
        <v>1</v>
      </c>
      <c r="AI9" s="41">
        <v>1</v>
      </c>
      <c r="AJ9" s="41">
        <v>1</v>
      </c>
      <c r="AK9" s="41">
        <v>1</v>
      </c>
      <c r="AL9" s="41">
        <v>1</v>
      </c>
      <c r="AM9" s="41">
        <v>1</v>
      </c>
      <c r="AN9" s="41">
        <v>1</v>
      </c>
      <c r="AO9" s="41">
        <v>1</v>
      </c>
      <c r="AP9" s="41">
        <v>1</v>
      </c>
      <c r="AQ9" s="41">
        <v>1</v>
      </c>
      <c r="AR9" s="41">
        <v>1</v>
      </c>
      <c r="AS9" s="41">
        <v>1</v>
      </c>
      <c r="AT9" s="41">
        <v>1</v>
      </c>
      <c r="AU9" s="41">
        <v>1</v>
      </c>
      <c r="AV9" s="41">
        <v>1</v>
      </c>
      <c r="AW9" s="41">
        <v>1</v>
      </c>
      <c r="AX9" s="41">
        <v>1</v>
      </c>
      <c r="AY9" s="41">
        <v>1</v>
      </c>
      <c r="AZ9" s="41">
        <v>1</v>
      </c>
      <c r="BA9" s="41">
        <v>1</v>
      </c>
      <c r="BB9" s="41">
        <v>1</v>
      </c>
      <c r="BD9" s="145">
        <f t="shared" si="167"/>
        <v>1</v>
      </c>
      <c r="BE9" s="145">
        <v>4.0599999999999996</v>
      </c>
      <c r="BF9" s="145">
        <v>3.95</v>
      </c>
      <c r="BG9" s="145">
        <v>3.95</v>
      </c>
      <c r="BH9" s="145">
        <v>3.93</v>
      </c>
      <c r="BI9" s="145">
        <v>3.94</v>
      </c>
      <c r="BJ9" s="41">
        <v>3.92</v>
      </c>
      <c r="BK9" s="41">
        <v>1</v>
      </c>
      <c r="BL9" s="41">
        <v>1</v>
      </c>
      <c r="BM9" s="41">
        <v>1</v>
      </c>
      <c r="BN9" s="41">
        <v>1</v>
      </c>
      <c r="BO9" s="41">
        <v>1</v>
      </c>
      <c r="BP9" s="41">
        <v>1</v>
      </c>
      <c r="BQ9" s="41">
        <v>1</v>
      </c>
      <c r="BR9" s="41">
        <v>1</v>
      </c>
      <c r="BS9" s="41">
        <v>1</v>
      </c>
      <c r="BT9" s="41">
        <v>1</v>
      </c>
      <c r="BU9" s="41">
        <v>1</v>
      </c>
      <c r="BV9" s="41">
        <v>1</v>
      </c>
      <c r="BW9" s="41">
        <v>1</v>
      </c>
      <c r="BX9" s="41">
        <v>1</v>
      </c>
      <c r="BY9" s="41">
        <v>1</v>
      </c>
      <c r="BZ9" s="41">
        <v>1</v>
      </c>
      <c r="CA9" s="41">
        <v>1</v>
      </c>
      <c r="CB9" s="41">
        <v>1</v>
      </c>
      <c r="CC9" s="41">
        <v>1</v>
      </c>
      <c r="CD9" s="41">
        <v>1</v>
      </c>
      <c r="CE9" s="41">
        <v>1</v>
      </c>
      <c r="CF9" s="41">
        <v>1</v>
      </c>
      <c r="CG9" s="41">
        <v>1</v>
      </c>
      <c r="CH9" s="41">
        <v>1</v>
      </c>
      <c r="CJ9" s="145">
        <f t="shared" si="168"/>
        <v>1</v>
      </c>
      <c r="CK9" s="145">
        <v>4.4400000000000004</v>
      </c>
      <c r="CL9" s="145">
        <v>4.3600000000000003</v>
      </c>
      <c r="CM9" s="145">
        <v>4.3600000000000003</v>
      </c>
      <c r="CN9" s="145">
        <v>4.32</v>
      </c>
      <c r="CO9" s="145">
        <v>4.41</v>
      </c>
      <c r="CP9" s="41">
        <v>4.3600000000000003</v>
      </c>
      <c r="CQ9" s="41">
        <v>1</v>
      </c>
      <c r="CR9" s="41">
        <v>1</v>
      </c>
      <c r="CS9" s="41">
        <v>1</v>
      </c>
      <c r="CT9" s="41">
        <v>1</v>
      </c>
      <c r="CU9" s="41">
        <v>1</v>
      </c>
      <c r="CV9" s="41">
        <v>1</v>
      </c>
      <c r="CW9" s="41">
        <v>1</v>
      </c>
      <c r="CX9" s="41">
        <v>1</v>
      </c>
      <c r="CY9" s="41">
        <v>1</v>
      </c>
      <c r="CZ9" s="41">
        <v>1</v>
      </c>
      <c r="DA9" s="41">
        <v>1</v>
      </c>
      <c r="DB9" s="41">
        <v>1</v>
      </c>
      <c r="DC9" s="41">
        <v>1</v>
      </c>
      <c r="DD9" s="41">
        <v>1</v>
      </c>
      <c r="DE9" s="41">
        <v>1</v>
      </c>
      <c r="DF9" s="41">
        <v>1</v>
      </c>
      <c r="DG9" s="41">
        <v>1</v>
      </c>
      <c r="DH9" s="41">
        <v>1</v>
      </c>
      <c r="DI9" s="41">
        <v>1</v>
      </c>
      <c r="DJ9" s="41">
        <v>1</v>
      </c>
      <c r="DK9" s="41">
        <v>1</v>
      </c>
      <c r="DL9" s="41">
        <v>1</v>
      </c>
      <c r="DM9" s="41">
        <v>1</v>
      </c>
      <c r="DN9" s="41">
        <v>1</v>
      </c>
      <c r="DP9" s="145">
        <f t="shared" si="169"/>
        <v>1</v>
      </c>
      <c r="DQ9" s="145">
        <v>5.42</v>
      </c>
      <c r="DR9" s="145">
        <v>5.27</v>
      </c>
      <c r="DS9" s="145">
        <v>5.27</v>
      </c>
      <c r="DT9" s="145">
        <v>5.29</v>
      </c>
      <c r="DU9" s="145">
        <v>5.4</v>
      </c>
      <c r="DV9" s="41">
        <v>5.38</v>
      </c>
      <c r="DW9" s="41">
        <v>1</v>
      </c>
      <c r="DX9" s="41">
        <v>1</v>
      </c>
      <c r="DY9" s="41">
        <v>1</v>
      </c>
      <c r="DZ9" s="41">
        <v>1</v>
      </c>
      <c r="EA9" s="41">
        <v>1</v>
      </c>
      <c r="EB9" s="41">
        <v>1</v>
      </c>
      <c r="EC9" s="41">
        <v>1</v>
      </c>
      <c r="ED9" s="41">
        <v>1</v>
      </c>
      <c r="EE9" s="41">
        <v>1</v>
      </c>
      <c r="EF9" s="41">
        <v>1</v>
      </c>
      <c r="EG9" s="41">
        <v>1</v>
      </c>
      <c r="EH9" s="41">
        <v>1</v>
      </c>
      <c r="EI9" s="41">
        <v>1</v>
      </c>
      <c r="EJ9" s="41">
        <v>1</v>
      </c>
      <c r="EK9" s="41">
        <v>1</v>
      </c>
      <c r="EL9" s="41">
        <v>1</v>
      </c>
      <c r="EM9" s="41">
        <v>1</v>
      </c>
      <c r="EN9" s="41">
        <v>1</v>
      </c>
      <c r="EO9" s="41">
        <v>1</v>
      </c>
      <c r="EP9" s="41">
        <v>1</v>
      </c>
      <c r="EQ9" s="41">
        <v>1</v>
      </c>
      <c r="ER9" s="41">
        <v>1</v>
      </c>
      <c r="ES9" s="41">
        <v>1</v>
      </c>
      <c r="ET9" s="41">
        <v>1</v>
      </c>
      <c r="EV9" s="145">
        <f t="shared" si="170"/>
        <v>1</v>
      </c>
      <c r="EW9" s="145">
        <v>4.79</v>
      </c>
      <c r="EX9" s="145">
        <v>4.75</v>
      </c>
      <c r="EY9" s="145">
        <v>4.75</v>
      </c>
      <c r="EZ9" s="145">
        <v>4.76</v>
      </c>
      <c r="FA9" s="145">
        <v>4.78</v>
      </c>
      <c r="FB9" s="41">
        <v>4.76</v>
      </c>
      <c r="FC9" s="41">
        <v>1</v>
      </c>
      <c r="FD9" s="41">
        <v>1</v>
      </c>
      <c r="FE9" s="41">
        <v>1</v>
      </c>
      <c r="FF9" s="41">
        <v>1</v>
      </c>
      <c r="FG9" s="41">
        <v>1</v>
      </c>
      <c r="FH9" s="41">
        <v>1</v>
      </c>
      <c r="FI9" s="41">
        <v>1</v>
      </c>
      <c r="FJ9" s="41">
        <v>1</v>
      </c>
      <c r="FK9" s="41">
        <v>1</v>
      </c>
      <c r="FL9" s="41">
        <v>1</v>
      </c>
      <c r="FM9" s="41">
        <v>1</v>
      </c>
      <c r="FN9" s="41">
        <v>1</v>
      </c>
      <c r="FO9" s="41">
        <v>1</v>
      </c>
      <c r="FP9" s="41">
        <v>1</v>
      </c>
      <c r="FQ9" s="41">
        <v>1</v>
      </c>
      <c r="FR9" s="41">
        <v>1</v>
      </c>
      <c r="FS9" s="41">
        <v>1</v>
      </c>
      <c r="FT9" s="41">
        <v>1</v>
      </c>
      <c r="FU9" s="41">
        <v>1</v>
      </c>
      <c r="FV9" s="41">
        <v>1</v>
      </c>
      <c r="FW9" s="41">
        <v>1</v>
      </c>
      <c r="FX9" s="41">
        <v>1</v>
      </c>
      <c r="FY9" s="41">
        <v>1</v>
      </c>
      <c r="FZ9" s="41">
        <v>1</v>
      </c>
      <c r="GB9" s="145">
        <f t="shared" si="171"/>
        <v>1</v>
      </c>
      <c r="GC9" s="145">
        <v>10.4</v>
      </c>
      <c r="GD9" s="145">
        <v>10.61</v>
      </c>
      <c r="GE9" s="145">
        <v>10.61</v>
      </c>
      <c r="GF9" s="145">
        <v>10.65</v>
      </c>
      <c r="GG9" s="145">
        <v>10.87</v>
      </c>
      <c r="GH9" s="41">
        <v>10.83</v>
      </c>
      <c r="GI9" s="41">
        <v>1</v>
      </c>
      <c r="GJ9" s="41">
        <v>1</v>
      </c>
      <c r="GK9" s="41">
        <v>1</v>
      </c>
      <c r="GL9" s="41">
        <v>1</v>
      </c>
      <c r="GM9" s="41">
        <v>1</v>
      </c>
      <c r="GN9" s="41">
        <v>1</v>
      </c>
      <c r="GO9" s="41">
        <v>1</v>
      </c>
      <c r="GP9" s="41">
        <v>1</v>
      </c>
      <c r="GQ9" s="41">
        <v>1</v>
      </c>
      <c r="GR9" s="41">
        <v>1</v>
      </c>
      <c r="GS9" s="41">
        <v>1</v>
      </c>
      <c r="GT9" s="41">
        <v>1</v>
      </c>
      <c r="GU9" s="41">
        <v>1</v>
      </c>
      <c r="GV9" s="41">
        <v>1</v>
      </c>
      <c r="GW9" s="41">
        <v>1</v>
      </c>
      <c r="GX9" s="41">
        <v>1</v>
      </c>
      <c r="GY9" s="41">
        <v>1</v>
      </c>
      <c r="GZ9" s="41">
        <v>1</v>
      </c>
      <c r="HA9" s="41">
        <v>1</v>
      </c>
      <c r="HB9" s="41">
        <v>1</v>
      </c>
      <c r="HC9" s="41">
        <v>1</v>
      </c>
      <c r="HD9" s="41">
        <v>1</v>
      </c>
      <c r="HE9" s="41">
        <v>1</v>
      </c>
      <c r="HF9" s="41">
        <v>1</v>
      </c>
      <c r="HH9" s="373">
        <v>1</v>
      </c>
      <c r="HI9" s="218">
        <v>1</v>
      </c>
      <c r="HJ9" s="229">
        <v>1</v>
      </c>
      <c r="HK9" s="229">
        <v>1</v>
      </c>
      <c r="HM9" s="373">
        <f t="shared" si="173"/>
        <v>1</v>
      </c>
      <c r="HN9" s="145">
        <v>1</v>
      </c>
    </row>
    <row r="10" spans="1:251" ht="12.75" hidden="1" customHeight="1" x14ac:dyDescent="0.2">
      <c r="A10" s="373">
        <f t="shared" si="172"/>
        <v>6</v>
      </c>
      <c r="B10" s="149" t="s">
        <v>128</v>
      </c>
      <c r="C10" s="150">
        <v>0.95799999999999996</v>
      </c>
      <c r="D10" s="150">
        <v>0.995</v>
      </c>
      <c r="E10" s="150">
        <v>0.80600000000000005</v>
      </c>
      <c r="F10" s="150">
        <v>1.0580000000000001</v>
      </c>
      <c r="G10" s="150"/>
      <c r="H10" s="226">
        <f ca="1">OFFSET($HH10,0,'Расчет стоимости'!$M$10,1,1)</f>
        <v>1</v>
      </c>
      <c r="I10" s="150">
        <v>1</v>
      </c>
      <c r="J10" s="150">
        <v>1</v>
      </c>
      <c r="K10" s="149">
        <v>1</v>
      </c>
      <c r="L10" s="149">
        <v>1</v>
      </c>
      <c r="M10" s="372">
        <v>2.1000000000000001E-2</v>
      </c>
      <c r="N10" s="145">
        <v>1.9E-2</v>
      </c>
      <c r="O10" s="145">
        <v>0.01</v>
      </c>
      <c r="P10" s="145">
        <v>3.2000000000000001E-2</v>
      </c>
      <c r="Q10" s="145">
        <v>0</v>
      </c>
      <c r="R10" s="152" t="s">
        <v>234</v>
      </c>
      <c r="S10" s="152"/>
      <c r="T10" s="225">
        <f t="shared" si="165"/>
        <v>1</v>
      </c>
      <c r="U10" s="225">
        <f t="shared" si="165"/>
        <v>1</v>
      </c>
      <c r="V10" s="225">
        <f t="shared" si="165"/>
        <v>1</v>
      </c>
      <c r="W10" s="225">
        <f t="shared" si="165"/>
        <v>1</v>
      </c>
      <c r="X10" s="145">
        <f t="shared" si="166"/>
        <v>1</v>
      </c>
      <c r="Y10" s="145">
        <v>5.76</v>
      </c>
      <c r="Z10" s="145">
        <v>5.86</v>
      </c>
      <c r="AA10" s="145">
        <v>5.86</v>
      </c>
      <c r="AB10" s="145">
        <v>5.88</v>
      </c>
      <c r="AC10" s="145">
        <v>6</v>
      </c>
      <c r="AD10" s="41">
        <v>5.98</v>
      </c>
      <c r="AE10" s="41">
        <v>1</v>
      </c>
      <c r="AF10" s="41">
        <v>1</v>
      </c>
      <c r="AG10" s="41">
        <v>1</v>
      </c>
      <c r="AH10" s="41">
        <v>1</v>
      </c>
      <c r="AI10" s="41">
        <v>1</v>
      </c>
      <c r="AJ10" s="41">
        <v>1</v>
      </c>
      <c r="AK10" s="41">
        <v>1</v>
      </c>
      <c r="AL10" s="41">
        <v>1</v>
      </c>
      <c r="AM10" s="41">
        <v>1</v>
      </c>
      <c r="AN10" s="41">
        <v>1</v>
      </c>
      <c r="AO10" s="41">
        <v>1</v>
      </c>
      <c r="AP10" s="41">
        <v>1</v>
      </c>
      <c r="AQ10" s="41">
        <v>1</v>
      </c>
      <c r="AR10" s="41">
        <v>1</v>
      </c>
      <c r="AS10" s="41">
        <v>1</v>
      </c>
      <c r="AT10" s="41">
        <v>1</v>
      </c>
      <c r="AU10" s="41">
        <v>1</v>
      </c>
      <c r="AV10" s="41">
        <v>1</v>
      </c>
      <c r="AW10" s="41">
        <v>1</v>
      </c>
      <c r="AX10" s="41">
        <v>1</v>
      </c>
      <c r="AY10" s="41">
        <v>1</v>
      </c>
      <c r="AZ10" s="41">
        <v>1</v>
      </c>
      <c r="BA10" s="41">
        <v>1</v>
      </c>
      <c r="BB10" s="41">
        <v>1</v>
      </c>
      <c r="BD10" s="145">
        <f t="shared" si="167"/>
        <v>1</v>
      </c>
      <c r="BE10" s="145">
        <v>4.4000000000000004</v>
      </c>
      <c r="BF10" s="145">
        <v>4.4000000000000004</v>
      </c>
      <c r="BG10" s="145">
        <v>4.4000000000000004</v>
      </c>
      <c r="BH10" s="145">
        <v>4.42</v>
      </c>
      <c r="BI10" s="145">
        <v>4.51</v>
      </c>
      <c r="BJ10" s="41">
        <v>4.49</v>
      </c>
      <c r="BK10" s="41">
        <v>1</v>
      </c>
      <c r="BL10" s="41">
        <v>1</v>
      </c>
      <c r="BM10" s="41">
        <v>1</v>
      </c>
      <c r="BN10" s="41">
        <v>1</v>
      </c>
      <c r="BO10" s="41">
        <v>1</v>
      </c>
      <c r="BP10" s="41">
        <v>1</v>
      </c>
      <c r="BQ10" s="41">
        <v>1</v>
      </c>
      <c r="BR10" s="41">
        <v>1</v>
      </c>
      <c r="BS10" s="41">
        <v>1</v>
      </c>
      <c r="BT10" s="41">
        <v>1</v>
      </c>
      <c r="BU10" s="41">
        <v>1</v>
      </c>
      <c r="BV10" s="41">
        <v>1</v>
      </c>
      <c r="BW10" s="41">
        <v>1</v>
      </c>
      <c r="BX10" s="41">
        <v>1</v>
      </c>
      <c r="BY10" s="41">
        <v>1</v>
      </c>
      <c r="BZ10" s="41">
        <v>1</v>
      </c>
      <c r="CA10" s="41">
        <v>1</v>
      </c>
      <c r="CB10" s="41">
        <v>1</v>
      </c>
      <c r="CC10" s="41">
        <v>1</v>
      </c>
      <c r="CD10" s="41">
        <v>1</v>
      </c>
      <c r="CE10" s="41">
        <v>1</v>
      </c>
      <c r="CF10" s="41">
        <v>1</v>
      </c>
      <c r="CG10" s="41">
        <v>1</v>
      </c>
      <c r="CH10" s="41">
        <v>1</v>
      </c>
      <c r="CJ10" s="145">
        <f t="shared" si="168"/>
        <v>1</v>
      </c>
      <c r="CK10" s="145">
        <v>4.2699999999999996</v>
      </c>
      <c r="CL10" s="145">
        <v>4.32</v>
      </c>
      <c r="CM10" s="145">
        <v>4.32</v>
      </c>
      <c r="CN10" s="145">
        <v>4.34</v>
      </c>
      <c r="CO10" s="145">
        <v>4.43</v>
      </c>
      <c r="CP10" s="41">
        <v>4.41</v>
      </c>
      <c r="CQ10" s="41">
        <v>1</v>
      </c>
      <c r="CR10" s="41">
        <v>1</v>
      </c>
      <c r="CS10" s="41">
        <v>1</v>
      </c>
      <c r="CT10" s="41">
        <v>1</v>
      </c>
      <c r="CU10" s="41">
        <v>1</v>
      </c>
      <c r="CV10" s="41">
        <v>1</v>
      </c>
      <c r="CW10" s="41">
        <v>1</v>
      </c>
      <c r="CX10" s="41">
        <v>1</v>
      </c>
      <c r="CY10" s="41">
        <v>1</v>
      </c>
      <c r="CZ10" s="41">
        <v>1</v>
      </c>
      <c r="DA10" s="41">
        <v>1</v>
      </c>
      <c r="DB10" s="41">
        <v>1</v>
      </c>
      <c r="DC10" s="41">
        <v>1</v>
      </c>
      <c r="DD10" s="41">
        <v>1</v>
      </c>
      <c r="DE10" s="41">
        <v>1</v>
      </c>
      <c r="DF10" s="41">
        <v>1</v>
      </c>
      <c r="DG10" s="41">
        <v>1</v>
      </c>
      <c r="DH10" s="41">
        <v>1</v>
      </c>
      <c r="DI10" s="41">
        <v>1</v>
      </c>
      <c r="DJ10" s="41">
        <v>1</v>
      </c>
      <c r="DK10" s="41">
        <v>1</v>
      </c>
      <c r="DL10" s="41">
        <v>1</v>
      </c>
      <c r="DM10" s="41">
        <v>1</v>
      </c>
      <c r="DN10" s="41">
        <v>1</v>
      </c>
      <c r="DP10" s="145">
        <f t="shared" si="169"/>
        <v>1</v>
      </c>
      <c r="DQ10" s="145">
        <v>4.57</v>
      </c>
      <c r="DR10" s="145">
        <v>4.66</v>
      </c>
      <c r="DS10" s="145">
        <v>4.66</v>
      </c>
      <c r="DT10" s="145">
        <v>4.68</v>
      </c>
      <c r="DU10" s="145">
        <v>4.78</v>
      </c>
      <c r="DV10" s="41">
        <v>4.76</v>
      </c>
      <c r="DW10" s="41">
        <v>1</v>
      </c>
      <c r="DX10" s="41">
        <v>1</v>
      </c>
      <c r="DY10" s="41">
        <v>1</v>
      </c>
      <c r="DZ10" s="41">
        <v>1</v>
      </c>
      <c r="EA10" s="41">
        <v>1</v>
      </c>
      <c r="EB10" s="41">
        <v>1</v>
      </c>
      <c r="EC10" s="41">
        <v>1</v>
      </c>
      <c r="ED10" s="41">
        <v>1</v>
      </c>
      <c r="EE10" s="41">
        <v>1</v>
      </c>
      <c r="EF10" s="41">
        <v>1</v>
      </c>
      <c r="EG10" s="41">
        <v>1</v>
      </c>
      <c r="EH10" s="41">
        <v>1</v>
      </c>
      <c r="EI10" s="41">
        <v>1</v>
      </c>
      <c r="EJ10" s="41">
        <v>1</v>
      </c>
      <c r="EK10" s="41">
        <v>1</v>
      </c>
      <c r="EL10" s="41">
        <v>1</v>
      </c>
      <c r="EM10" s="41">
        <v>1</v>
      </c>
      <c r="EN10" s="41">
        <v>1</v>
      </c>
      <c r="EO10" s="41">
        <v>1</v>
      </c>
      <c r="EP10" s="41">
        <v>1</v>
      </c>
      <c r="EQ10" s="41">
        <v>1</v>
      </c>
      <c r="ER10" s="41">
        <v>1</v>
      </c>
      <c r="ES10" s="41">
        <v>1</v>
      </c>
      <c r="ET10" s="41">
        <v>1</v>
      </c>
      <c r="EV10" s="145">
        <f t="shared" si="170"/>
        <v>1</v>
      </c>
      <c r="EW10" s="145">
        <v>4.43</v>
      </c>
      <c r="EX10" s="145">
        <v>4.4800000000000004</v>
      </c>
      <c r="EY10" s="145">
        <v>4.4800000000000004</v>
      </c>
      <c r="EZ10" s="145">
        <v>4.5</v>
      </c>
      <c r="FA10" s="145">
        <v>4.59</v>
      </c>
      <c r="FB10" s="41">
        <v>4.57</v>
      </c>
      <c r="FC10" s="41">
        <v>1</v>
      </c>
      <c r="FD10" s="41">
        <v>1</v>
      </c>
      <c r="FE10" s="41">
        <v>1</v>
      </c>
      <c r="FF10" s="41">
        <v>1</v>
      </c>
      <c r="FG10" s="41">
        <v>1</v>
      </c>
      <c r="FH10" s="41">
        <v>1</v>
      </c>
      <c r="FI10" s="41">
        <v>1</v>
      </c>
      <c r="FJ10" s="41">
        <v>1</v>
      </c>
      <c r="FK10" s="41">
        <v>1</v>
      </c>
      <c r="FL10" s="41">
        <v>1</v>
      </c>
      <c r="FM10" s="41">
        <v>1</v>
      </c>
      <c r="FN10" s="41">
        <v>1</v>
      </c>
      <c r="FO10" s="41">
        <v>1</v>
      </c>
      <c r="FP10" s="41">
        <v>1</v>
      </c>
      <c r="FQ10" s="41">
        <v>1</v>
      </c>
      <c r="FR10" s="41">
        <v>1</v>
      </c>
      <c r="FS10" s="41">
        <v>1</v>
      </c>
      <c r="FT10" s="41">
        <v>1</v>
      </c>
      <c r="FU10" s="41">
        <v>1</v>
      </c>
      <c r="FV10" s="41">
        <v>1</v>
      </c>
      <c r="FW10" s="41">
        <v>1</v>
      </c>
      <c r="FX10" s="41">
        <v>1</v>
      </c>
      <c r="FY10" s="41">
        <v>1</v>
      </c>
      <c r="FZ10" s="41">
        <v>1</v>
      </c>
      <c r="GB10" s="145">
        <f t="shared" si="171"/>
        <v>1</v>
      </c>
      <c r="GC10" s="145">
        <v>10.01</v>
      </c>
      <c r="GD10" s="145">
        <v>10.210000000000001</v>
      </c>
      <c r="GE10" s="145">
        <v>10.210000000000001</v>
      </c>
      <c r="GF10" s="145">
        <v>10.25</v>
      </c>
      <c r="GG10" s="145">
        <v>10.47</v>
      </c>
      <c r="GH10" s="41">
        <v>10.43</v>
      </c>
      <c r="GI10" s="41">
        <v>1</v>
      </c>
      <c r="GJ10" s="41">
        <v>1</v>
      </c>
      <c r="GK10" s="41">
        <v>1</v>
      </c>
      <c r="GL10" s="41">
        <v>1</v>
      </c>
      <c r="GM10" s="41">
        <v>1</v>
      </c>
      <c r="GN10" s="41">
        <v>1</v>
      </c>
      <c r="GO10" s="41">
        <v>1</v>
      </c>
      <c r="GP10" s="41">
        <v>1</v>
      </c>
      <c r="GQ10" s="41">
        <v>1</v>
      </c>
      <c r="GR10" s="41">
        <v>1</v>
      </c>
      <c r="GS10" s="41">
        <v>1</v>
      </c>
      <c r="GT10" s="41">
        <v>1</v>
      </c>
      <c r="GU10" s="41">
        <v>1</v>
      </c>
      <c r="GV10" s="41">
        <v>1</v>
      </c>
      <c r="GW10" s="41">
        <v>1</v>
      </c>
      <c r="GX10" s="41">
        <v>1</v>
      </c>
      <c r="GY10" s="41">
        <v>1</v>
      </c>
      <c r="GZ10" s="41">
        <v>1</v>
      </c>
      <c r="HA10" s="41">
        <v>1</v>
      </c>
      <c r="HB10" s="41">
        <v>1</v>
      </c>
      <c r="HC10" s="41">
        <v>1</v>
      </c>
      <c r="HD10" s="41">
        <v>1</v>
      </c>
      <c r="HE10" s="41">
        <v>1</v>
      </c>
      <c r="HF10" s="41">
        <v>1</v>
      </c>
      <c r="HH10" s="373">
        <v>1</v>
      </c>
      <c r="HI10" s="218">
        <v>1</v>
      </c>
      <c r="HJ10" s="229">
        <v>1</v>
      </c>
      <c r="HK10" s="229">
        <v>1</v>
      </c>
      <c r="HM10" s="373">
        <f t="shared" si="173"/>
        <v>1</v>
      </c>
      <c r="HN10" s="145">
        <v>1</v>
      </c>
    </row>
    <row r="11" spans="1:251" ht="12.75" hidden="1" customHeight="1" x14ac:dyDescent="0.2">
      <c r="A11" s="373">
        <f t="shared" si="172"/>
        <v>7</v>
      </c>
      <c r="B11" s="149" t="s">
        <v>129</v>
      </c>
      <c r="C11" s="150">
        <v>0.96599999999999997</v>
      </c>
      <c r="D11" s="150">
        <v>0.97399999999999998</v>
      </c>
      <c r="E11" s="150">
        <v>0.93799999999999994</v>
      </c>
      <c r="F11" s="150">
        <v>0.96499999999999997</v>
      </c>
      <c r="G11" s="150"/>
      <c r="H11" s="226">
        <f ca="1">OFFSET($HH11,0,'Расчет стоимости'!$M$10,1,1)</f>
        <v>1</v>
      </c>
      <c r="I11" s="150">
        <v>1</v>
      </c>
      <c r="J11" s="150">
        <v>1</v>
      </c>
      <c r="K11" s="149">
        <v>1</v>
      </c>
      <c r="L11" s="149">
        <v>1</v>
      </c>
      <c r="M11" s="372">
        <v>2.1000000000000001E-2</v>
      </c>
      <c r="N11" s="145">
        <v>1.9E-2</v>
      </c>
      <c r="O11" s="145">
        <v>0.01</v>
      </c>
      <c r="P11" s="145">
        <v>3.2000000000000001E-2</v>
      </c>
      <c r="Q11" s="145">
        <v>0</v>
      </c>
      <c r="R11" s="152" t="s">
        <v>234</v>
      </c>
      <c r="S11" s="152"/>
      <c r="T11" s="225">
        <f t="shared" si="165"/>
        <v>1</v>
      </c>
      <c r="U11" s="225">
        <f t="shared" si="165"/>
        <v>1</v>
      </c>
      <c r="V11" s="225">
        <f t="shared" si="165"/>
        <v>1</v>
      </c>
      <c r="W11" s="225">
        <f t="shared" si="165"/>
        <v>1</v>
      </c>
      <c r="X11" s="145">
        <f t="shared" si="166"/>
        <v>1</v>
      </c>
      <c r="Y11" s="145">
        <v>5.66</v>
      </c>
      <c r="Z11" s="145">
        <v>5.73</v>
      </c>
      <c r="AA11" s="145">
        <v>5.73</v>
      </c>
      <c r="AB11" s="145">
        <v>5.75</v>
      </c>
      <c r="AC11" s="145">
        <v>5.87</v>
      </c>
      <c r="AD11" s="41">
        <v>5.85</v>
      </c>
      <c r="AE11" s="41">
        <v>1</v>
      </c>
      <c r="AF11" s="41">
        <v>1</v>
      </c>
      <c r="AG11" s="41">
        <v>1</v>
      </c>
      <c r="AH11" s="41">
        <v>1</v>
      </c>
      <c r="AI11" s="41">
        <v>1</v>
      </c>
      <c r="AJ11" s="41">
        <v>1</v>
      </c>
      <c r="AK11" s="41">
        <v>1</v>
      </c>
      <c r="AL11" s="41">
        <v>1</v>
      </c>
      <c r="AM11" s="41">
        <v>1</v>
      </c>
      <c r="AN11" s="41">
        <v>1</v>
      </c>
      <c r="AO11" s="41">
        <v>1</v>
      </c>
      <c r="AP11" s="41">
        <v>1</v>
      </c>
      <c r="AQ11" s="41">
        <v>1</v>
      </c>
      <c r="AR11" s="41">
        <v>1</v>
      </c>
      <c r="AS11" s="41">
        <v>1</v>
      </c>
      <c r="AT11" s="41">
        <v>1</v>
      </c>
      <c r="AU11" s="41">
        <v>1</v>
      </c>
      <c r="AV11" s="41">
        <v>1</v>
      </c>
      <c r="AW11" s="41">
        <v>1</v>
      </c>
      <c r="AX11" s="41">
        <v>1</v>
      </c>
      <c r="AY11" s="41">
        <v>1</v>
      </c>
      <c r="AZ11" s="41">
        <v>1</v>
      </c>
      <c r="BA11" s="41">
        <v>1</v>
      </c>
      <c r="BB11" s="41">
        <v>1</v>
      </c>
      <c r="BD11" s="145">
        <f t="shared" si="167"/>
        <v>1</v>
      </c>
      <c r="BE11" s="145">
        <v>3.61</v>
      </c>
      <c r="BF11" s="145">
        <v>3.68</v>
      </c>
      <c r="BG11" s="145">
        <v>3.68</v>
      </c>
      <c r="BH11" s="145">
        <v>3.69</v>
      </c>
      <c r="BI11" s="145">
        <v>3.77</v>
      </c>
      <c r="BJ11" s="41">
        <v>3.75</v>
      </c>
      <c r="BK11" s="41">
        <v>1</v>
      </c>
      <c r="BL11" s="41">
        <v>1</v>
      </c>
      <c r="BM11" s="41">
        <v>1</v>
      </c>
      <c r="BN11" s="41">
        <v>1</v>
      </c>
      <c r="BO11" s="41">
        <v>1</v>
      </c>
      <c r="BP11" s="41">
        <v>1</v>
      </c>
      <c r="BQ11" s="41">
        <v>1</v>
      </c>
      <c r="BR11" s="41">
        <v>1</v>
      </c>
      <c r="BS11" s="41">
        <v>1</v>
      </c>
      <c r="BT11" s="41">
        <v>1</v>
      </c>
      <c r="BU11" s="41">
        <v>1</v>
      </c>
      <c r="BV11" s="41">
        <v>1</v>
      </c>
      <c r="BW11" s="41">
        <v>1</v>
      </c>
      <c r="BX11" s="41">
        <v>1</v>
      </c>
      <c r="BY11" s="41">
        <v>1</v>
      </c>
      <c r="BZ11" s="41">
        <v>1</v>
      </c>
      <c r="CA11" s="41">
        <v>1</v>
      </c>
      <c r="CB11" s="41">
        <v>1</v>
      </c>
      <c r="CC11" s="41">
        <v>1</v>
      </c>
      <c r="CD11" s="41">
        <v>1</v>
      </c>
      <c r="CE11" s="41">
        <v>1</v>
      </c>
      <c r="CF11" s="41">
        <v>1</v>
      </c>
      <c r="CG11" s="41">
        <v>1</v>
      </c>
      <c r="CH11" s="41">
        <v>1</v>
      </c>
      <c r="CJ11" s="145">
        <f t="shared" si="168"/>
        <v>1</v>
      </c>
      <c r="CK11" s="145">
        <v>3.85</v>
      </c>
      <c r="CL11" s="145">
        <v>3.93</v>
      </c>
      <c r="CM11" s="145">
        <v>3.93</v>
      </c>
      <c r="CN11" s="145">
        <v>3.95</v>
      </c>
      <c r="CO11" s="145">
        <v>4.03</v>
      </c>
      <c r="CP11" s="41">
        <v>4.01</v>
      </c>
      <c r="CQ11" s="41">
        <v>1</v>
      </c>
      <c r="CR11" s="41">
        <v>1</v>
      </c>
      <c r="CS11" s="41">
        <v>1</v>
      </c>
      <c r="CT11" s="41">
        <v>1</v>
      </c>
      <c r="CU11" s="41">
        <v>1</v>
      </c>
      <c r="CV11" s="41">
        <v>1</v>
      </c>
      <c r="CW11" s="41">
        <v>1</v>
      </c>
      <c r="CX11" s="41">
        <v>1</v>
      </c>
      <c r="CY11" s="41">
        <v>1</v>
      </c>
      <c r="CZ11" s="41">
        <v>1</v>
      </c>
      <c r="DA11" s="41">
        <v>1</v>
      </c>
      <c r="DB11" s="41">
        <v>1</v>
      </c>
      <c r="DC11" s="41">
        <v>1</v>
      </c>
      <c r="DD11" s="41">
        <v>1</v>
      </c>
      <c r="DE11" s="41">
        <v>1</v>
      </c>
      <c r="DF11" s="41">
        <v>1</v>
      </c>
      <c r="DG11" s="41">
        <v>1</v>
      </c>
      <c r="DH11" s="41">
        <v>1</v>
      </c>
      <c r="DI11" s="41">
        <v>1</v>
      </c>
      <c r="DJ11" s="41">
        <v>1</v>
      </c>
      <c r="DK11" s="41">
        <v>1</v>
      </c>
      <c r="DL11" s="41">
        <v>1</v>
      </c>
      <c r="DM11" s="41">
        <v>1</v>
      </c>
      <c r="DN11" s="41">
        <v>1</v>
      </c>
      <c r="DP11" s="145">
        <f t="shared" si="169"/>
        <v>1</v>
      </c>
      <c r="DQ11" s="145">
        <v>4.24</v>
      </c>
      <c r="DR11" s="145">
        <v>4.2300000000000004</v>
      </c>
      <c r="DS11" s="145">
        <v>4.2300000000000004</v>
      </c>
      <c r="DT11" s="145">
        <v>4.25</v>
      </c>
      <c r="DU11" s="145">
        <v>4.34</v>
      </c>
      <c r="DV11" s="41">
        <v>4.32</v>
      </c>
      <c r="DW11" s="41">
        <v>1</v>
      </c>
      <c r="DX11" s="41">
        <v>1</v>
      </c>
      <c r="DY11" s="41">
        <v>1</v>
      </c>
      <c r="DZ11" s="41">
        <v>1</v>
      </c>
      <c r="EA11" s="41">
        <v>1</v>
      </c>
      <c r="EB11" s="41">
        <v>1</v>
      </c>
      <c r="EC11" s="41">
        <v>1</v>
      </c>
      <c r="ED11" s="41">
        <v>1</v>
      </c>
      <c r="EE11" s="41">
        <v>1</v>
      </c>
      <c r="EF11" s="41">
        <v>1</v>
      </c>
      <c r="EG11" s="41">
        <v>1</v>
      </c>
      <c r="EH11" s="41">
        <v>1</v>
      </c>
      <c r="EI11" s="41">
        <v>1</v>
      </c>
      <c r="EJ11" s="41">
        <v>1</v>
      </c>
      <c r="EK11" s="41">
        <v>1</v>
      </c>
      <c r="EL11" s="41">
        <v>1</v>
      </c>
      <c r="EM11" s="41">
        <v>1</v>
      </c>
      <c r="EN11" s="41">
        <v>1</v>
      </c>
      <c r="EO11" s="41">
        <v>1</v>
      </c>
      <c r="EP11" s="41">
        <v>1</v>
      </c>
      <c r="EQ11" s="41">
        <v>1</v>
      </c>
      <c r="ER11" s="41">
        <v>1</v>
      </c>
      <c r="ES11" s="41">
        <v>1</v>
      </c>
      <c r="ET11" s="41">
        <v>1</v>
      </c>
      <c r="EV11" s="145">
        <f t="shared" si="170"/>
        <v>1</v>
      </c>
      <c r="EW11" s="145">
        <v>4.18</v>
      </c>
      <c r="EX11" s="145">
        <v>4.26</v>
      </c>
      <c r="EY11" s="145">
        <v>4.26</v>
      </c>
      <c r="EZ11" s="145">
        <v>4.28</v>
      </c>
      <c r="FA11" s="145">
        <v>4.37</v>
      </c>
      <c r="FB11" s="41">
        <v>4.3499999999999996</v>
      </c>
      <c r="FC11" s="41">
        <v>1</v>
      </c>
      <c r="FD11" s="41">
        <v>1</v>
      </c>
      <c r="FE11" s="41">
        <v>1</v>
      </c>
      <c r="FF11" s="41">
        <v>1</v>
      </c>
      <c r="FG11" s="41">
        <v>1</v>
      </c>
      <c r="FH11" s="41">
        <v>1</v>
      </c>
      <c r="FI11" s="41">
        <v>1</v>
      </c>
      <c r="FJ11" s="41">
        <v>1</v>
      </c>
      <c r="FK11" s="41">
        <v>1</v>
      </c>
      <c r="FL11" s="41">
        <v>1</v>
      </c>
      <c r="FM11" s="41">
        <v>1</v>
      </c>
      <c r="FN11" s="41">
        <v>1</v>
      </c>
      <c r="FO11" s="41">
        <v>1</v>
      </c>
      <c r="FP11" s="41">
        <v>1</v>
      </c>
      <c r="FQ11" s="41">
        <v>1</v>
      </c>
      <c r="FR11" s="41">
        <v>1</v>
      </c>
      <c r="FS11" s="41">
        <v>1</v>
      </c>
      <c r="FT11" s="41">
        <v>1</v>
      </c>
      <c r="FU11" s="41">
        <v>1</v>
      </c>
      <c r="FV11" s="41">
        <v>1</v>
      </c>
      <c r="FW11" s="41">
        <v>1</v>
      </c>
      <c r="FX11" s="41">
        <v>1</v>
      </c>
      <c r="FY11" s="41">
        <v>1</v>
      </c>
      <c r="FZ11" s="41">
        <v>1</v>
      </c>
      <c r="GB11" s="145">
        <f t="shared" si="171"/>
        <v>1</v>
      </c>
      <c r="GC11" s="145">
        <v>11.2</v>
      </c>
      <c r="GD11" s="145">
        <v>11.19</v>
      </c>
      <c r="GE11" s="145">
        <v>11.19</v>
      </c>
      <c r="GF11" s="145">
        <v>11.23</v>
      </c>
      <c r="GG11" s="145">
        <v>11.47</v>
      </c>
      <c r="GH11" s="41">
        <v>11.42</v>
      </c>
      <c r="GI11" s="41">
        <v>1</v>
      </c>
      <c r="GJ11" s="41">
        <v>1</v>
      </c>
      <c r="GK11" s="41">
        <v>1</v>
      </c>
      <c r="GL11" s="41">
        <v>1</v>
      </c>
      <c r="GM11" s="41">
        <v>1</v>
      </c>
      <c r="GN11" s="41">
        <v>1</v>
      </c>
      <c r="GO11" s="41">
        <v>1</v>
      </c>
      <c r="GP11" s="41">
        <v>1</v>
      </c>
      <c r="GQ11" s="41">
        <v>1</v>
      </c>
      <c r="GR11" s="41">
        <v>1</v>
      </c>
      <c r="GS11" s="41">
        <v>1</v>
      </c>
      <c r="GT11" s="41">
        <v>1</v>
      </c>
      <c r="GU11" s="41">
        <v>1</v>
      </c>
      <c r="GV11" s="41">
        <v>1</v>
      </c>
      <c r="GW11" s="41">
        <v>1</v>
      </c>
      <c r="GX11" s="41">
        <v>1</v>
      </c>
      <c r="GY11" s="41">
        <v>1</v>
      </c>
      <c r="GZ11" s="41">
        <v>1</v>
      </c>
      <c r="HA11" s="41">
        <v>1</v>
      </c>
      <c r="HB11" s="41">
        <v>1</v>
      </c>
      <c r="HC11" s="41">
        <v>1</v>
      </c>
      <c r="HD11" s="41">
        <v>1</v>
      </c>
      <c r="HE11" s="41">
        <v>1</v>
      </c>
      <c r="HF11" s="41">
        <v>1</v>
      </c>
      <c r="HH11" s="373">
        <v>1</v>
      </c>
      <c r="HI11" s="218">
        <v>1</v>
      </c>
      <c r="HJ11" s="229">
        <v>1</v>
      </c>
      <c r="HK11" s="229">
        <v>1</v>
      </c>
      <c r="HM11" s="373">
        <f t="shared" si="173"/>
        <v>1</v>
      </c>
      <c r="HN11" s="145">
        <v>1</v>
      </c>
    </row>
    <row r="12" spans="1:251" ht="12.75" hidden="1" customHeight="1" x14ac:dyDescent="0.2">
      <c r="A12" s="373">
        <f t="shared" si="172"/>
        <v>8</v>
      </c>
      <c r="B12" s="149" t="s">
        <v>130</v>
      </c>
      <c r="C12" s="150">
        <v>0.98699999999999999</v>
      </c>
      <c r="D12" s="150">
        <v>1.018</v>
      </c>
      <c r="E12" s="150">
        <v>0.875</v>
      </c>
      <c r="F12" s="150">
        <v>1.0069999999999999</v>
      </c>
      <c r="G12" s="150"/>
      <c r="H12" s="226">
        <f ca="1">OFFSET($HH12,0,'Расчет стоимости'!$M$10,1,1)</f>
        <v>1</v>
      </c>
      <c r="I12" s="150">
        <v>1</v>
      </c>
      <c r="J12" s="150">
        <v>1</v>
      </c>
      <c r="K12" s="149">
        <v>1</v>
      </c>
      <c r="L12" s="149">
        <v>1</v>
      </c>
      <c r="M12" s="372">
        <v>3.2000000000000001E-2</v>
      </c>
      <c r="N12" s="145">
        <v>2.8999999999999998E-2</v>
      </c>
      <c r="O12" s="145">
        <v>1.3000000000000001E-2</v>
      </c>
      <c r="P12" s="145">
        <v>0.04</v>
      </c>
      <c r="Q12" s="145">
        <v>3.0000000000000001E-3</v>
      </c>
      <c r="R12" s="152" t="s">
        <v>235</v>
      </c>
      <c r="S12" s="152"/>
      <c r="T12" s="225">
        <f t="shared" si="165"/>
        <v>1</v>
      </c>
      <c r="U12" s="225">
        <f t="shared" si="165"/>
        <v>1</v>
      </c>
      <c r="V12" s="225">
        <f t="shared" si="165"/>
        <v>1</v>
      </c>
      <c r="W12" s="225">
        <f t="shared" si="165"/>
        <v>1</v>
      </c>
      <c r="X12" s="145">
        <f t="shared" si="166"/>
        <v>1</v>
      </c>
      <c r="Y12" s="145">
        <v>5.43</v>
      </c>
      <c r="Z12" s="145">
        <v>5.53</v>
      </c>
      <c r="AA12" s="145">
        <v>5.53</v>
      </c>
      <c r="AB12" s="145">
        <v>5.55</v>
      </c>
      <c r="AC12" s="145">
        <v>5.67</v>
      </c>
      <c r="AD12" s="41">
        <v>5.65</v>
      </c>
      <c r="AE12" s="41">
        <v>1</v>
      </c>
      <c r="AF12" s="41">
        <v>1</v>
      </c>
      <c r="AG12" s="41">
        <v>1</v>
      </c>
      <c r="AH12" s="41">
        <v>1</v>
      </c>
      <c r="AI12" s="41">
        <v>1</v>
      </c>
      <c r="AJ12" s="41">
        <v>1</v>
      </c>
      <c r="AK12" s="41">
        <v>1</v>
      </c>
      <c r="AL12" s="41">
        <v>1</v>
      </c>
      <c r="AM12" s="41">
        <v>1</v>
      </c>
      <c r="AN12" s="41">
        <v>1</v>
      </c>
      <c r="AO12" s="41">
        <v>1</v>
      </c>
      <c r="AP12" s="41">
        <v>1</v>
      </c>
      <c r="AQ12" s="41">
        <v>1</v>
      </c>
      <c r="AR12" s="41">
        <v>1</v>
      </c>
      <c r="AS12" s="41">
        <v>1</v>
      </c>
      <c r="AT12" s="41">
        <v>1</v>
      </c>
      <c r="AU12" s="41">
        <v>1</v>
      </c>
      <c r="AV12" s="41">
        <v>1</v>
      </c>
      <c r="AW12" s="41">
        <v>1</v>
      </c>
      <c r="AX12" s="41">
        <v>1</v>
      </c>
      <c r="AY12" s="41">
        <v>1</v>
      </c>
      <c r="AZ12" s="41">
        <v>1</v>
      </c>
      <c r="BA12" s="41">
        <v>1</v>
      </c>
      <c r="BB12" s="41">
        <v>1</v>
      </c>
      <c r="BD12" s="145">
        <f t="shared" si="167"/>
        <v>1</v>
      </c>
      <c r="BE12" s="145">
        <v>3.56</v>
      </c>
      <c r="BF12" s="145">
        <v>3.63</v>
      </c>
      <c r="BG12" s="145">
        <v>3.63</v>
      </c>
      <c r="BH12" s="145">
        <v>3.64</v>
      </c>
      <c r="BI12" s="145">
        <v>3.72</v>
      </c>
      <c r="BJ12" s="41">
        <v>3.71</v>
      </c>
      <c r="BK12" s="41">
        <v>1</v>
      </c>
      <c r="BL12" s="41">
        <v>1</v>
      </c>
      <c r="BM12" s="41">
        <v>1</v>
      </c>
      <c r="BN12" s="41">
        <v>1</v>
      </c>
      <c r="BO12" s="41">
        <v>1</v>
      </c>
      <c r="BP12" s="41">
        <v>1</v>
      </c>
      <c r="BQ12" s="41">
        <v>1</v>
      </c>
      <c r="BR12" s="41">
        <v>1</v>
      </c>
      <c r="BS12" s="41">
        <v>1</v>
      </c>
      <c r="BT12" s="41">
        <v>1</v>
      </c>
      <c r="BU12" s="41">
        <v>1</v>
      </c>
      <c r="BV12" s="41">
        <v>1</v>
      </c>
      <c r="BW12" s="41">
        <v>1</v>
      </c>
      <c r="BX12" s="41">
        <v>1</v>
      </c>
      <c r="BY12" s="41">
        <v>1</v>
      </c>
      <c r="BZ12" s="41">
        <v>1</v>
      </c>
      <c r="CA12" s="41">
        <v>1</v>
      </c>
      <c r="CB12" s="41">
        <v>1</v>
      </c>
      <c r="CC12" s="41">
        <v>1</v>
      </c>
      <c r="CD12" s="41">
        <v>1</v>
      </c>
      <c r="CE12" s="41">
        <v>1</v>
      </c>
      <c r="CF12" s="41">
        <v>1</v>
      </c>
      <c r="CG12" s="41">
        <v>1</v>
      </c>
      <c r="CH12" s="41">
        <v>1</v>
      </c>
      <c r="CJ12" s="145">
        <f t="shared" si="168"/>
        <v>1</v>
      </c>
      <c r="CK12" s="145">
        <v>3.97</v>
      </c>
      <c r="CL12" s="145">
        <v>4.05</v>
      </c>
      <c r="CM12" s="145">
        <v>4.05</v>
      </c>
      <c r="CN12" s="145">
        <v>4.07</v>
      </c>
      <c r="CO12" s="145">
        <v>4.16</v>
      </c>
      <c r="CP12" s="41">
        <v>4.1399999999999997</v>
      </c>
      <c r="CQ12" s="41">
        <v>1</v>
      </c>
      <c r="CR12" s="41">
        <v>1</v>
      </c>
      <c r="CS12" s="41">
        <v>1</v>
      </c>
      <c r="CT12" s="41">
        <v>1</v>
      </c>
      <c r="CU12" s="41">
        <v>1</v>
      </c>
      <c r="CV12" s="41">
        <v>1</v>
      </c>
      <c r="CW12" s="41">
        <v>1</v>
      </c>
      <c r="CX12" s="41">
        <v>1</v>
      </c>
      <c r="CY12" s="41">
        <v>1</v>
      </c>
      <c r="CZ12" s="41">
        <v>1</v>
      </c>
      <c r="DA12" s="41">
        <v>1</v>
      </c>
      <c r="DB12" s="41">
        <v>1</v>
      </c>
      <c r="DC12" s="41">
        <v>1</v>
      </c>
      <c r="DD12" s="41">
        <v>1</v>
      </c>
      <c r="DE12" s="41">
        <v>1</v>
      </c>
      <c r="DF12" s="41">
        <v>1</v>
      </c>
      <c r="DG12" s="41">
        <v>1</v>
      </c>
      <c r="DH12" s="41">
        <v>1</v>
      </c>
      <c r="DI12" s="41">
        <v>1</v>
      </c>
      <c r="DJ12" s="41">
        <v>1</v>
      </c>
      <c r="DK12" s="41">
        <v>1</v>
      </c>
      <c r="DL12" s="41">
        <v>1</v>
      </c>
      <c r="DM12" s="41">
        <v>1</v>
      </c>
      <c r="DN12" s="41">
        <v>1</v>
      </c>
      <c r="DP12" s="145">
        <f t="shared" si="169"/>
        <v>1</v>
      </c>
      <c r="DQ12" s="145">
        <v>4.22</v>
      </c>
      <c r="DR12" s="145">
        <v>4.3</v>
      </c>
      <c r="DS12" s="145">
        <v>4.3</v>
      </c>
      <c r="DT12" s="145">
        <v>4.32</v>
      </c>
      <c r="DU12" s="145">
        <v>4.41</v>
      </c>
      <c r="DV12" s="41">
        <v>4.3899999999999997</v>
      </c>
      <c r="DW12" s="41">
        <v>1</v>
      </c>
      <c r="DX12" s="41">
        <v>1</v>
      </c>
      <c r="DY12" s="41">
        <v>1</v>
      </c>
      <c r="DZ12" s="41">
        <v>1</v>
      </c>
      <c r="EA12" s="41">
        <v>1</v>
      </c>
      <c r="EB12" s="41">
        <v>1</v>
      </c>
      <c r="EC12" s="41">
        <v>1</v>
      </c>
      <c r="ED12" s="41">
        <v>1</v>
      </c>
      <c r="EE12" s="41">
        <v>1</v>
      </c>
      <c r="EF12" s="41">
        <v>1</v>
      </c>
      <c r="EG12" s="41">
        <v>1</v>
      </c>
      <c r="EH12" s="41">
        <v>1</v>
      </c>
      <c r="EI12" s="41">
        <v>1</v>
      </c>
      <c r="EJ12" s="41">
        <v>1</v>
      </c>
      <c r="EK12" s="41">
        <v>1</v>
      </c>
      <c r="EL12" s="41">
        <v>1</v>
      </c>
      <c r="EM12" s="41">
        <v>1</v>
      </c>
      <c r="EN12" s="41">
        <v>1</v>
      </c>
      <c r="EO12" s="41">
        <v>1</v>
      </c>
      <c r="EP12" s="41">
        <v>1</v>
      </c>
      <c r="EQ12" s="41">
        <v>1</v>
      </c>
      <c r="ER12" s="41">
        <v>1</v>
      </c>
      <c r="ES12" s="41">
        <v>1</v>
      </c>
      <c r="ET12" s="41">
        <v>1</v>
      </c>
      <c r="EV12" s="145">
        <f t="shared" si="170"/>
        <v>1</v>
      </c>
      <c r="EW12" s="145">
        <v>4.34</v>
      </c>
      <c r="EX12" s="145">
        <v>4.4000000000000004</v>
      </c>
      <c r="EY12" s="145">
        <v>4.4000000000000004</v>
      </c>
      <c r="EZ12" s="145">
        <v>4.42</v>
      </c>
      <c r="FA12" s="145">
        <v>4.51</v>
      </c>
      <c r="FB12" s="41">
        <v>4.49</v>
      </c>
      <c r="FC12" s="41">
        <v>1</v>
      </c>
      <c r="FD12" s="41">
        <v>1</v>
      </c>
      <c r="FE12" s="41">
        <v>1</v>
      </c>
      <c r="FF12" s="41">
        <v>1</v>
      </c>
      <c r="FG12" s="41">
        <v>1</v>
      </c>
      <c r="FH12" s="41">
        <v>1</v>
      </c>
      <c r="FI12" s="41">
        <v>1</v>
      </c>
      <c r="FJ12" s="41">
        <v>1</v>
      </c>
      <c r="FK12" s="41">
        <v>1</v>
      </c>
      <c r="FL12" s="41">
        <v>1</v>
      </c>
      <c r="FM12" s="41">
        <v>1</v>
      </c>
      <c r="FN12" s="41">
        <v>1</v>
      </c>
      <c r="FO12" s="41">
        <v>1</v>
      </c>
      <c r="FP12" s="41">
        <v>1</v>
      </c>
      <c r="FQ12" s="41">
        <v>1</v>
      </c>
      <c r="FR12" s="41">
        <v>1</v>
      </c>
      <c r="FS12" s="41">
        <v>1</v>
      </c>
      <c r="FT12" s="41">
        <v>1</v>
      </c>
      <c r="FU12" s="41">
        <v>1</v>
      </c>
      <c r="FV12" s="41">
        <v>1</v>
      </c>
      <c r="FW12" s="41">
        <v>1</v>
      </c>
      <c r="FX12" s="41">
        <v>1</v>
      </c>
      <c r="FY12" s="41">
        <v>1</v>
      </c>
      <c r="FZ12" s="41">
        <v>1</v>
      </c>
      <c r="GB12" s="145">
        <f t="shared" si="171"/>
        <v>1</v>
      </c>
      <c r="GC12" s="145">
        <v>10.039999999999999</v>
      </c>
      <c r="GD12" s="145">
        <v>10.24</v>
      </c>
      <c r="GE12" s="145">
        <v>10.24</v>
      </c>
      <c r="GF12" s="145">
        <v>10.28</v>
      </c>
      <c r="GG12" s="145">
        <v>10.5</v>
      </c>
      <c r="GH12" s="41">
        <v>10.46</v>
      </c>
      <c r="GI12" s="41">
        <v>1</v>
      </c>
      <c r="GJ12" s="41">
        <v>1</v>
      </c>
      <c r="GK12" s="41">
        <v>1</v>
      </c>
      <c r="GL12" s="41">
        <v>1</v>
      </c>
      <c r="GM12" s="41">
        <v>1</v>
      </c>
      <c r="GN12" s="41">
        <v>1</v>
      </c>
      <c r="GO12" s="41">
        <v>1</v>
      </c>
      <c r="GP12" s="41">
        <v>1</v>
      </c>
      <c r="GQ12" s="41">
        <v>1</v>
      </c>
      <c r="GR12" s="41">
        <v>1</v>
      </c>
      <c r="GS12" s="41">
        <v>1</v>
      </c>
      <c r="GT12" s="41">
        <v>1</v>
      </c>
      <c r="GU12" s="41">
        <v>1</v>
      </c>
      <c r="GV12" s="41">
        <v>1</v>
      </c>
      <c r="GW12" s="41">
        <v>1</v>
      </c>
      <c r="GX12" s="41">
        <v>1</v>
      </c>
      <c r="GY12" s="41">
        <v>1</v>
      </c>
      <c r="GZ12" s="41">
        <v>1</v>
      </c>
      <c r="HA12" s="41">
        <v>1</v>
      </c>
      <c r="HB12" s="41">
        <v>1</v>
      </c>
      <c r="HC12" s="41">
        <v>1</v>
      </c>
      <c r="HD12" s="41">
        <v>1</v>
      </c>
      <c r="HE12" s="41">
        <v>1</v>
      </c>
      <c r="HF12" s="41">
        <v>1</v>
      </c>
      <c r="HH12" s="373">
        <v>1</v>
      </c>
      <c r="HI12" s="218">
        <v>1</v>
      </c>
      <c r="HJ12" s="229">
        <v>1</v>
      </c>
      <c r="HK12" s="229">
        <v>1</v>
      </c>
      <c r="HM12" s="373">
        <f t="shared" si="173"/>
        <v>1</v>
      </c>
      <c r="HN12" s="145">
        <v>1</v>
      </c>
    </row>
    <row r="13" spans="1:251" hidden="1" x14ac:dyDescent="0.2">
      <c r="A13" s="373">
        <f>A12+1</f>
        <v>9</v>
      </c>
      <c r="B13" s="149" t="s">
        <v>141</v>
      </c>
      <c r="C13" s="150">
        <v>0.93500000000000005</v>
      </c>
      <c r="D13" s="150">
        <v>0.92200000000000004</v>
      </c>
      <c r="E13" s="150">
        <v>0.91900000000000004</v>
      </c>
      <c r="F13" s="150">
        <v>1.1519999999999999</v>
      </c>
      <c r="G13" s="150"/>
      <c r="H13" s="226">
        <f ca="1">OFFSET($HH13,0,'Расчет стоимости'!$M$10,1,1)</f>
        <v>1</v>
      </c>
      <c r="I13" s="150">
        <v>1</v>
      </c>
      <c r="J13" s="150">
        <v>1</v>
      </c>
      <c r="K13" s="149">
        <v>1</v>
      </c>
      <c r="L13" s="149">
        <v>1</v>
      </c>
      <c r="M13" s="372">
        <v>2.1000000000000001E-2</v>
      </c>
      <c r="N13" s="145">
        <v>1.9E-2</v>
      </c>
      <c r="O13" s="145">
        <v>0.01</v>
      </c>
      <c r="P13" s="145">
        <v>3.2000000000000001E-2</v>
      </c>
      <c r="Q13" s="145">
        <v>0</v>
      </c>
      <c r="R13" s="152" t="s">
        <v>234</v>
      </c>
      <c r="S13" s="152"/>
      <c r="T13" s="225">
        <f t="shared" si="165"/>
        <v>1</v>
      </c>
      <c r="U13" s="225">
        <f t="shared" si="165"/>
        <v>1</v>
      </c>
      <c r="V13" s="225">
        <f t="shared" si="165"/>
        <v>1</v>
      </c>
      <c r="W13" s="225">
        <f t="shared" si="165"/>
        <v>1</v>
      </c>
      <c r="X13" s="145">
        <f t="shared" si="166"/>
        <v>1</v>
      </c>
      <c r="Y13" s="145">
        <v>5.13</v>
      </c>
      <c r="Z13" s="145">
        <v>5.23</v>
      </c>
      <c r="AA13" s="145">
        <v>5.23</v>
      </c>
      <c r="AB13" s="145">
        <v>5.25</v>
      </c>
      <c r="AC13" s="145">
        <v>5.36</v>
      </c>
      <c r="AD13" s="41">
        <v>5.34</v>
      </c>
      <c r="AE13" s="41">
        <v>1</v>
      </c>
      <c r="AF13" s="41">
        <v>1</v>
      </c>
      <c r="AG13" s="41">
        <v>1</v>
      </c>
      <c r="AH13" s="41">
        <v>1</v>
      </c>
      <c r="AI13" s="41">
        <v>1</v>
      </c>
      <c r="AJ13" s="41">
        <v>1</v>
      </c>
      <c r="AK13" s="41">
        <v>1</v>
      </c>
      <c r="AL13" s="41">
        <v>1</v>
      </c>
      <c r="AM13" s="41">
        <v>1</v>
      </c>
      <c r="AN13" s="41">
        <v>1</v>
      </c>
      <c r="AO13" s="41">
        <v>1</v>
      </c>
      <c r="AP13" s="41">
        <v>1</v>
      </c>
      <c r="AQ13" s="41">
        <v>1</v>
      </c>
      <c r="AR13" s="41">
        <v>1</v>
      </c>
      <c r="AS13" s="41">
        <v>1</v>
      </c>
      <c r="AT13" s="41">
        <v>1</v>
      </c>
      <c r="AU13" s="41">
        <v>1</v>
      </c>
      <c r="AV13" s="41">
        <v>1</v>
      </c>
      <c r="AW13" s="41">
        <v>1</v>
      </c>
      <c r="AX13" s="41">
        <v>1</v>
      </c>
      <c r="AY13" s="41">
        <v>1</v>
      </c>
      <c r="AZ13" s="41">
        <v>1</v>
      </c>
      <c r="BA13" s="41">
        <v>1</v>
      </c>
      <c r="BB13" s="41">
        <v>1</v>
      </c>
      <c r="BD13" s="145">
        <f t="shared" si="167"/>
        <v>1</v>
      </c>
      <c r="BE13" s="145">
        <v>3.92</v>
      </c>
      <c r="BF13" s="145">
        <v>4</v>
      </c>
      <c r="BG13" s="145">
        <v>4</v>
      </c>
      <c r="BH13" s="145">
        <v>4.0199999999999996</v>
      </c>
      <c r="BI13" s="145">
        <v>4.0999999999999996</v>
      </c>
      <c r="BJ13" s="41">
        <v>4.08</v>
      </c>
      <c r="BK13" s="41">
        <v>1</v>
      </c>
      <c r="BL13" s="41">
        <v>1</v>
      </c>
      <c r="BM13" s="41">
        <v>1</v>
      </c>
      <c r="BN13" s="41">
        <v>1</v>
      </c>
      <c r="BO13" s="41">
        <v>1</v>
      </c>
      <c r="BP13" s="41">
        <v>1</v>
      </c>
      <c r="BQ13" s="41">
        <v>1</v>
      </c>
      <c r="BR13" s="41">
        <v>1</v>
      </c>
      <c r="BS13" s="41">
        <v>1</v>
      </c>
      <c r="BT13" s="41">
        <v>1</v>
      </c>
      <c r="BU13" s="41">
        <v>1</v>
      </c>
      <c r="BV13" s="41">
        <v>1</v>
      </c>
      <c r="BW13" s="41">
        <v>1</v>
      </c>
      <c r="BX13" s="41">
        <v>1</v>
      </c>
      <c r="BY13" s="41">
        <v>1</v>
      </c>
      <c r="BZ13" s="41">
        <v>1</v>
      </c>
      <c r="CA13" s="41">
        <v>1</v>
      </c>
      <c r="CB13" s="41">
        <v>1</v>
      </c>
      <c r="CC13" s="41">
        <v>1</v>
      </c>
      <c r="CD13" s="41">
        <v>1</v>
      </c>
      <c r="CE13" s="41">
        <v>1</v>
      </c>
      <c r="CF13" s="41">
        <v>1</v>
      </c>
      <c r="CG13" s="41">
        <v>1</v>
      </c>
      <c r="CH13" s="41">
        <v>1</v>
      </c>
      <c r="CJ13" s="145">
        <f t="shared" si="168"/>
        <v>1</v>
      </c>
      <c r="CK13" s="145">
        <v>4.21</v>
      </c>
      <c r="CL13" s="145">
        <v>4.29</v>
      </c>
      <c r="CM13" s="145">
        <v>4.29</v>
      </c>
      <c r="CN13" s="145">
        <v>4.3099999999999996</v>
      </c>
      <c r="CO13" s="145">
        <v>4.4000000000000004</v>
      </c>
      <c r="CP13" s="41">
        <v>4.38</v>
      </c>
      <c r="CQ13" s="41">
        <v>1</v>
      </c>
      <c r="CR13" s="41">
        <v>1</v>
      </c>
      <c r="CS13" s="41">
        <v>1</v>
      </c>
      <c r="CT13" s="41">
        <v>1</v>
      </c>
      <c r="CU13" s="41">
        <v>1</v>
      </c>
      <c r="CV13" s="41">
        <v>1</v>
      </c>
      <c r="CW13" s="41">
        <v>1</v>
      </c>
      <c r="CX13" s="41">
        <v>1</v>
      </c>
      <c r="CY13" s="41">
        <v>1</v>
      </c>
      <c r="CZ13" s="41">
        <v>1</v>
      </c>
      <c r="DA13" s="41">
        <v>1</v>
      </c>
      <c r="DB13" s="41">
        <v>1</v>
      </c>
      <c r="DC13" s="41">
        <v>1</v>
      </c>
      <c r="DD13" s="41">
        <v>1</v>
      </c>
      <c r="DE13" s="41">
        <v>1</v>
      </c>
      <c r="DF13" s="41">
        <v>1</v>
      </c>
      <c r="DG13" s="41">
        <v>1</v>
      </c>
      <c r="DH13" s="41">
        <v>1</v>
      </c>
      <c r="DI13" s="41">
        <v>1</v>
      </c>
      <c r="DJ13" s="41">
        <v>1</v>
      </c>
      <c r="DK13" s="41">
        <v>1</v>
      </c>
      <c r="DL13" s="41">
        <v>1</v>
      </c>
      <c r="DM13" s="41">
        <v>1</v>
      </c>
      <c r="DN13" s="41">
        <v>1</v>
      </c>
      <c r="DP13" s="145">
        <f t="shared" si="169"/>
        <v>1</v>
      </c>
      <c r="DQ13" s="145">
        <v>4.4400000000000004</v>
      </c>
      <c r="DR13" s="145">
        <v>4.5199999999999996</v>
      </c>
      <c r="DS13" s="145">
        <v>4.5199999999999996</v>
      </c>
      <c r="DT13" s="145">
        <v>4.54</v>
      </c>
      <c r="DU13" s="145">
        <v>4.6399999999999997</v>
      </c>
      <c r="DV13" s="41">
        <v>4.62</v>
      </c>
      <c r="DW13" s="41">
        <v>1</v>
      </c>
      <c r="DX13" s="41">
        <v>1</v>
      </c>
      <c r="DY13" s="41">
        <v>1</v>
      </c>
      <c r="DZ13" s="41">
        <v>1</v>
      </c>
      <c r="EA13" s="41">
        <v>1</v>
      </c>
      <c r="EB13" s="41">
        <v>1</v>
      </c>
      <c r="EC13" s="41">
        <v>1</v>
      </c>
      <c r="ED13" s="41">
        <v>1</v>
      </c>
      <c r="EE13" s="41">
        <v>1</v>
      </c>
      <c r="EF13" s="41">
        <v>1</v>
      </c>
      <c r="EG13" s="41">
        <v>1</v>
      </c>
      <c r="EH13" s="41">
        <v>1</v>
      </c>
      <c r="EI13" s="41">
        <v>1</v>
      </c>
      <c r="EJ13" s="41">
        <v>1</v>
      </c>
      <c r="EK13" s="41">
        <v>1</v>
      </c>
      <c r="EL13" s="41">
        <v>1</v>
      </c>
      <c r="EM13" s="41">
        <v>1</v>
      </c>
      <c r="EN13" s="41">
        <v>1</v>
      </c>
      <c r="EO13" s="41">
        <v>1</v>
      </c>
      <c r="EP13" s="41">
        <v>1</v>
      </c>
      <c r="EQ13" s="41">
        <v>1</v>
      </c>
      <c r="ER13" s="41">
        <v>1</v>
      </c>
      <c r="ES13" s="41">
        <v>1</v>
      </c>
      <c r="ET13" s="41">
        <v>1</v>
      </c>
      <c r="EV13" s="145">
        <f t="shared" si="170"/>
        <v>1</v>
      </c>
      <c r="EW13" s="145">
        <v>4.68</v>
      </c>
      <c r="EX13" s="145">
        <v>4.68</v>
      </c>
      <c r="EY13" s="145">
        <v>4.68</v>
      </c>
      <c r="EZ13" s="145">
        <v>4.7</v>
      </c>
      <c r="FA13" s="145">
        <v>4.8</v>
      </c>
      <c r="FB13" s="41">
        <v>4.78</v>
      </c>
      <c r="FC13" s="41">
        <v>1</v>
      </c>
      <c r="FD13" s="41">
        <v>1</v>
      </c>
      <c r="FE13" s="41">
        <v>1</v>
      </c>
      <c r="FF13" s="41">
        <v>1</v>
      </c>
      <c r="FG13" s="41">
        <v>1</v>
      </c>
      <c r="FH13" s="41">
        <v>1</v>
      </c>
      <c r="FI13" s="41">
        <v>1</v>
      </c>
      <c r="FJ13" s="41">
        <v>1</v>
      </c>
      <c r="FK13" s="41">
        <v>1</v>
      </c>
      <c r="FL13" s="41">
        <v>1</v>
      </c>
      <c r="FM13" s="41">
        <v>1</v>
      </c>
      <c r="FN13" s="41">
        <v>1</v>
      </c>
      <c r="FO13" s="41">
        <v>1</v>
      </c>
      <c r="FP13" s="41">
        <v>1</v>
      </c>
      <c r="FQ13" s="41">
        <v>1</v>
      </c>
      <c r="FR13" s="41">
        <v>1</v>
      </c>
      <c r="FS13" s="41">
        <v>1</v>
      </c>
      <c r="FT13" s="41">
        <v>1</v>
      </c>
      <c r="FU13" s="41">
        <v>1</v>
      </c>
      <c r="FV13" s="41">
        <v>1</v>
      </c>
      <c r="FW13" s="41">
        <v>1</v>
      </c>
      <c r="FX13" s="41">
        <v>1</v>
      </c>
      <c r="FY13" s="41">
        <v>1</v>
      </c>
      <c r="FZ13" s="41">
        <v>1</v>
      </c>
      <c r="GB13" s="145">
        <f t="shared" si="171"/>
        <v>1</v>
      </c>
      <c r="GC13" s="145">
        <v>10.27</v>
      </c>
      <c r="GD13" s="145">
        <v>10.47</v>
      </c>
      <c r="GE13" s="145">
        <v>10.47</v>
      </c>
      <c r="GF13" s="145">
        <v>10.51</v>
      </c>
      <c r="GG13" s="145">
        <v>10.73</v>
      </c>
      <c r="GH13" s="41">
        <v>10.69</v>
      </c>
      <c r="GI13" s="41">
        <v>1</v>
      </c>
      <c r="GJ13" s="41">
        <v>1</v>
      </c>
      <c r="GK13" s="41">
        <v>1</v>
      </c>
      <c r="GL13" s="41">
        <v>1</v>
      </c>
      <c r="GM13" s="41">
        <v>1</v>
      </c>
      <c r="GN13" s="41">
        <v>1</v>
      </c>
      <c r="GO13" s="41">
        <v>1</v>
      </c>
      <c r="GP13" s="41">
        <v>1</v>
      </c>
      <c r="GQ13" s="41">
        <v>1</v>
      </c>
      <c r="GR13" s="41">
        <v>1</v>
      </c>
      <c r="GS13" s="41">
        <v>1</v>
      </c>
      <c r="GT13" s="41">
        <v>1</v>
      </c>
      <c r="GU13" s="41">
        <v>1</v>
      </c>
      <c r="GV13" s="41">
        <v>1</v>
      </c>
      <c r="GW13" s="41">
        <v>1</v>
      </c>
      <c r="GX13" s="41">
        <v>1</v>
      </c>
      <c r="GY13" s="41">
        <v>1</v>
      </c>
      <c r="GZ13" s="41">
        <v>1</v>
      </c>
      <c r="HA13" s="41">
        <v>1</v>
      </c>
      <c r="HB13" s="41">
        <v>1</v>
      </c>
      <c r="HC13" s="41">
        <v>1</v>
      </c>
      <c r="HD13" s="41">
        <v>1</v>
      </c>
      <c r="HE13" s="41">
        <v>1</v>
      </c>
      <c r="HF13" s="41">
        <v>1</v>
      </c>
      <c r="HH13" s="373">
        <v>1</v>
      </c>
      <c r="HI13" s="218">
        <v>1</v>
      </c>
      <c r="HJ13" s="229">
        <v>1</v>
      </c>
      <c r="HK13" s="229">
        <v>1</v>
      </c>
      <c r="HM13" s="373">
        <f t="shared" si="173"/>
        <v>1</v>
      </c>
      <c r="HN13" s="145">
        <v>1</v>
      </c>
    </row>
    <row r="14" spans="1:251" hidden="1" x14ac:dyDescent="0.2">
      <c r="A14" s="373">
        <f t="shared" si="172"/>
        <v>10</v>
      </c>
      <c r="B14" s="149" t="s">
        <v>142</v>
      </c>
      <c r="C14" s="150">
        <v>0.86</v>
      </c>
      <c r="D14" s="150">
        <v>0.92100000000000004</v>
      </c>
      <c r="E14" s="150">
        <v>0.628</v>
      </c>
      <c r="F14" s="150">
        <v>0.93899999999999995</v>
      </c>
      <c r="G14" s="150"/>
      <c r="H14" s="226">
        <f ca="1">OFFSET($HH14,0,'Расчет стоимости'!$M$10,1,1)</f>
        <v>1</v>
      </c>
      <c r="I14" s="150">
        <v>1</v>
      </c>
      <c r="J14" s="150">
        <v>1</v>
      </c>
      <c r="K14" s="149">
        <v>1</v>
      </c>
      <c r="L14" s="149">
        <v>1</v>
      </c>
      <c r="M14" s="372">
        <v>2.1000000000000001E-2</v>
      </c>
      <c r="N14" s="145">
        <v>1.9E-2</v>
      </c>
      <c r="O14" s="145">
        <v>0.01</v>
      </c>
      <c r="P14" s="145">
        <v>3.2000000000000001E-2</v>
      </c>
      <c r="Q14" s="145">
        <v>0</v>
      </c>
      <c r="R14" s="152" t="s">
        <v>234</v>
      </c>
      <c r="S14" s="152"/>
      <c r="T14" s="225">
        <f t="shared" si="165"/>
        <v>1</v>
      </c>
      <c r="U14" s="225">
        <f t="shared" si="165"/>
        <v>1</v>
      </c>
      <c r="V14" s="225">
        <f t="shared" si="165"/>
        <v>1</v>
      </c>
      <c r="W14" s="225">
        <f t="shared" si="165"/>
        <v>1</v>
      </c>
      <c r="X14" s="145">
        <f t="shared" si="166"/>
        <v>1</v>
      </c>
      <c r="Y14" s="145">
        <v>5.46</v>
      </c>
      <c r="Z14" s="145">
        <v>5.56</v>
      </c>
      <c r="AA14" s="145">
        <v>5.56</v>
      </c>
      <c r="AB14" s="145">
        <v>5.58</v>
      </c>
      <c r="AC14" s="145">
        <v>5.7</v>
      </c>
      <c r="AD14" s="41">
        <v>5.68</v>
      </c>
      <c r="AE14" s="41">
        <v>1</v>
      </c>
      <c r="AF14" s="41">
        <v>1</v>
      </c>
      <c r="AG14" s="41">
        <v>1</v>
      </c>
      <c r="AH14" s="41">
        <v>1</v>
      </c>
      <c r="AI14" s="41">
        <v>1</v>
      </c>
      <c r="AJ14" s="41">
        <v>1</v>
      </c>
      <c r="AK14" s="41">
        <v>1</v>
      </c>
      <c r="AL14" s="41">
        <v>1</v>
      </c>
      <c r="AM14" s="41">
        <v>1</v>
      </c>
      <c r="AN14" s="41">
        <v>1</v>
      </c>
      <c r="AO14" s="41">
        <v>1</v>
      </c>
      <c r="AP14" s="41">
        <v>1</v>
      </c>
      <c r="AQ14" s="41">
        <v>1</v>
      </c>
      <c r="AR14" s="41">
        <v>1</v>
      </c>
      <c r="AS14" s="41">
        <v>1</v>
      </c>
      <c r="AT14" s="41">
        <v>1</v>
      </c>
      <c r="AU14" s="41">
        <v>1</v>
      </c>
      <c r="AV14" s="41">
        <v>1</v>
      </c>
      <c r="AW14" s="41">
        <v>1</v>
      </c>
      <c r="AX14" s="41">
        <v>1</v>
      </c>
      <c r="AY14" s="41">
        <v>1</v>
      </c>
      <c r="AZ14" s="41">
        <v>1</v>
      </c>
      <c r="BA14" s="41">
        <v>1</v>
      </c>
      <c r="BB14" s="41">
        <v>1</v>
      </c>
      <c r="BD14" s="145">
        <f t="shared" si="167"/>
        <v>1</v>
      </c>
      <c r="BE14" s="145">
        <v>3.61</v>
      </c>
      <c r="BF14" s="145">
        <v>3.57</v>
      </c>
      <c r="BG14" s="145">
        <v>3.57</v>
      </c>
      <c r="BH14" s="145">
        <v>3.58</v>
      </c>
      <c r="BI14" s="145">
        <v>3.66</v>
      </c>
      <c r="BJ14" s="41">
        <v>3.65</v>
      </c>
      <c r="BK14" s="41">
        <v>1</v>
      </c>
      <c r="BL14" s="41">
        <v>1</v>
      </c>
      <c r="BM14" s="41">
        <v>1</v>
      </c>
      <c r="BN14" s="41">
        <v>1</v>
      </c>
      <c r="BO14" s="41">
        <v>1</v>
      </c>
      <c r="BP14" s="41">
        <v>1</v>
      </c>
      <c r="BQ14" s="41">
        <v>1</v>
      </c>
      <c r="BR14" s="41">
        <v>1</v>
      </c>
      <c r="BS14" s="41">
        <v>1</v>
      </c>
      <c r="BT14" s="41">
        <v>1</v>
      </c>
      <c r="BU14" s="41">
        <v>1</v>
      </c>
      <c r="BV14" s="41">
        <v>1</v>
      </c>
      <c r="BW14" s="41">
        <v>1</v>
      </c>
      <c r="BX14" s="41">
        <v>1</v>
      </c>
      <c r="BY14" s="41">
        <v>1</v>
      </c>
      <c r="BZ14" s="41">
        <v>1</v>
      </c>
      <c r="CA14" s="41">
        <v>1</v>
      </c>
      <c r="CB14" s="41">
        <v>1</v>
      </c>
      <c r="CC14" s="41">
        <v>1</v>
      </c>
      <c r="CD14" s="41">
        <v>1</v>
      </c>
      <c r="CE14" s="41">
        <v>1</v>
      </c>
      <c r="CF14" s="41">
        <v>1</v>
      </c>
      <c r="CG14" s="41">
        <v>1</v>
      </c>
      <c r="CH14" s="41">
        <v>1</v>
      </c>
      <c r="CJ14" s="145">
        <f t="shared" si="168"/>
        <v>1</v>
      </c>
      <c r="CK14" s="145">
        <v>3.81</v>
      </c>
      <c r="CL14" s="145">
        <v>3.79</v>
      </c>
      <c r="CM14" s="145">
        <v>3.79</v>
      </c>
      <c r="CN14" s="145">
        <v>3.8</v>
      </c>
      <c r="CO14" s="145">
        <v>3.86</v>
      </c>
      <c r="CP14" s="41">
        <v>3.78</v>
      </c>
      <c r="CQ14" s="41">
        <v>1</v>
      </c>
      <c r="CR14" s="41">
        <v>1</v>
      </c>
      <c r="CS14" s="41">
        <v>1</v>
      </c>
      <c r="CT14" s="41">
        <v>1</v>
      </c>
      <c r="CU14" s="41">
        <v>1</v>
      </c>
      <c r="CV14" s="41">
        <v>1</v>
      </c>
      <c r="CW14" s="41">
        <v>1</v>
      </c>
      <c r="CX14" s="41">
        <v>1</v>
      </c>
      <c r="CY14" s="41">
        <v>1</v>
      </c>
      <c r="CZ14" s="41">
        <v>1</v>
      </c>
      <c r="DA14" s="41">
        <v>1</v>
      </c>
      <c r="DB14" s="41">
        <v>1</v>
      </c>
      <c r="DC14" s="41">
        <v>1</v>
      </c>
      <c r="DD14" s="41">
        <v>1</v>
      </c>
      <c r="DE14" s="41">
        <v>1</v>
      </c>
      <c r="DF14" s="41">
        <v>1</v>
      </c>
      <c r="DG14" s="41">
        <v>1</v>
      </c>
      <c r="DH14" s="41">
        <v>1</v>
      </c>
      <c r="DI14" s="41">
        <v>1</v>
      </c>
      <c r="DJ14" s="41">
        <v>1</v>
      </c>
      <c r="DK14" s="41">
        <v>1</v>
      </c>
      <c r="DL14" s="41">
        <v>1</v>
      </c>
      <c r="DM14" s="41">
        <v>1</v>
      </c>
      <c r="DN14" s="41">
        <v>1</v>
      </c>
      <c r="DP14" s="145">
        <f t="shared" si="169"/>
        <v>1</v>
      </c>
      <c r="DQ14" s="145">
        <v>4.1399999999999997</v>
      </c>
      <c r="DR14" s="145">
        <v>4.2</v>
      </c>
      <c r="DS14" s="145">
        <v>4.2</v>
      </c>
      <c r="DT14" s="145">
        <v>4.22</v>
      </c>
      <c r="DU14" s="145">
        <v>4.3099999999999996</v>
      </c>
      <c r="DV14" s="41">
        <v>4.29</v>
      </c>
      <c r="DW14" s="41">
        <v>1</v>
      </c>
      <c r="DX14" s="41">
        <v>1</v>
      </c>
      <c r="DY14" s="41">
        <v>1</v>
      </c>
      <c r="DZ14" s="41">
        <v>1</v>
      </c>
      <c r="EA14" s="41">
        <v>1</v>
      </c>
      <c r="EB14" s="41">
        <v>1</v>
      </c>
      <c r="EC14" s="41">
        <v>1</v>
      </c>
      <c r="ED14" s="41">
        <v>1</v>
      </c>
      <c r="EE14" s="41">
        <v>1</v>
      </c>
      <c r="EF14" s="41">
        <v>1</v>
      </c>
      <c r="EG14" s="41">
        <v>1</v>
      </c>
      <c r="EH14" s="41">
        <v>1</v>
      </c>
      <c r="EI14" s="41">
        <v>1</v>
      </c>
      <c r="EJ14" s="41">
        <v>1</v>
      </c>
      <c r="EK14" s="41">
        <v>1</v>
      </c>
      <c r="EL14" s="41">
        <v>1</v>
      </c>
      <c r="EM14" s="41">
        <v>1</v>
      </c>
      <c r="EN14" s="41">
        <v>1</v>
      </c>
      <c r="EO14" s="41">
        <v>1</v>
      </c>
      <c r="EP14" s="41">
        <v>1</v>
      </c>
      <c r="EQ14" s="41">
        <v>1</v>
      </c>
      <c r="ER14" s="41">
        <v>1</v>
      </c>
      <c r="ES14" s="41">
        <v>1</v>
      </c>
      <c r="ET14" s="41">
        <v>1</v>
      </c>
      <c r="EV14" s="145">
        <f t="shared" si="170"/>
        <v>1</v>
      </c>
      <c r="EW14" s="145">
        <v>3.92</v>
      </c>
      <c r="EX14" s="145">
        <v>3.96</v>
      </c>
      <c r="EY14" s="145">
        <v>3.96</v>
      </c>
      <c r="EZ14" s="145">
        <v>3.98</v>
      </c>
      <c r="FA14" s="145">
        <v>4.04</v>
      </c>
      <c r="FB14" s="41">
        <v>4.0199999999999996</v>
      </c>
      <c r="FC14" s="41">
        <v>1</v>
      </c>
      <c r="FD14" s="41">
        <v>1</v>
      </c>
      <c r="FE14" s="41">
        <v>1</v>
      </c>
      <c r="FF14" s="41">
        <v>1</v>
      </c>
      <c r="FG14" s="41">
        <v>1</v>
      </c>
      <c r="FH14" s="41">
        <v>1</v>
      </c>
      <c r="FI14" s="41">
        <v>1</v>
      </c>
      <c r="FJ14" s="41">
        <v>1</v>
      </c>
      <c r="FK14" s="41">
        <v>1</v>
      </c>
      <c r="FL14" s="41">
        <v>1</v>
      </c>
      <c r="FM14" s="41">
        <v>1</v>
      </c>
      <c r="FN14" s="41">
        <v>1</v>
      </c>
      <c r="FO14" s="41">
        <v>1</v>
      </c>
      <c r="FP14" s="41">
        <v>1</v>
      </c>
      <c r="FQ14" s="41">
        <v>1</v>
      </c>
      <c r="FR14" s="41">
        <v>1</v>
      </c>
      <c r="FS14" s="41">
        <v>1</v>
      </c>
      <c r="FT14" s="41">
        <v>1</v>
      </c>
      <c r="FU14" s="41">
        <v>1</v>
      </c>
      <c r="FV14" s="41">
        <v>1</v>
      </c>
      <c r="FW14" s="41">
        <v>1</v>
      </c>
      <c r="FX14" s="41">
        <v>1</v>
      </c>
      <c r="FY14" s="41">
        <v>1</v>
      </c>
      <c r="FZ14" s="41">
        <v>1</v>
      </c>
      <c r="GB14" s="145">
        <f t="shared" si="171"/>
        <v>1</v>
      </c>
      <c r="GC14" s="145">
        <v>8.9499999999999993</v>
      </c>
      <c r="GD14" s="145">
        <v>9.1300000000000008</v>
      </c>
      <c r="GE14" s="145">
        <v>9.1300000000000008</v>
      </c>
      <c r="GF14" s="145">
        <v>9.17</v>
      </c>
      <c r="GG14" s="145">
        <v>9.36</v>
      </c>
      <c r="GH14" s="41">
        <v>9.32</v>
      </c>
      <c r="GI14" s="41">
        <v>1</v>
      </c>
      <c r="GJ14" s="41">
        <v>1</v>
      </c>
      <c r="GK14" s="41">
        <v>1</v>
      </c>
      <c r="GL14" s="41">
        <v>1</v>
      </c>
      <c r="GM14" s="41">
        <v>1</v>
      </c>
      <c r="GN14" s="41">
        <v>1</v>
      </c>
      <c r="GO14" s="41">
        <v>1</v>
      </c>
      <c r="GP14" s="41">
        <v>1</v>
      </c>
      <c r="GQ14" s="41">
        <v>1</v>
      </c>
      <c r="GR14" s="41">
        <v>1</v>
      </c>
      <c r="GS14" s="41">
        <v>1</v>
      </c>
      <c r="GT14" s="41">
        <v>1</v>
      </c>
      <c r="GU14" s="41">
        <v>1</v>
      </c>
      <c r="GV14" s="41">
        <v>1</v>
      </c>
      <c r="GW14" s="41">
        <v>1</v>
      </c>
      <c r="GX14" s="41">
        <v>1</v>
      </c>
      <c r="GY14" s="41">
        <v>1</v>
      </c>
      <c r="GZ14" s="41">
        <v>1</v>
      </c>
      <c r="HA14" s="41">
        <v>1</v>
      </c>
      <c r="HB14" s="41">
        <v>1</v>
      </c>
      <c r="HC14" s="41">
        <v>1</v>
      </c>
      <c r="HD14" s="41">
        <v>1</v>
      </c>
      <c r="HE14" s="41">
        <v>1</v>
      </c>
      <c r="HF14" s="41">
        <v>1</v>
      </c>
      <c r="HH14" s="373">
        <v>1</v>
      </c>
      <c r="HI14" s="218">
        <v>1</v>
      </c>
      <c r="HJ14" s="229">
        <v>1</v>
      </c>
      <c r="HK14" s="229">
        <v>1</v>
      </c>
      <c r="HM14" s="373">
        <f t="shared" si="173"/>
        <v>1</v>
      </c>
      <c r="HN14" s="145">
        <v>1</v>
      </c>
    </row>
    <row r="15" spans="1:251" ht="12.75" hidden="1" customHeight="1" x14ac:dyDescent="0.2">
      <c r="A15" s="373">
        <f t="shared" si="172"/>
        <v>11</v>
      </c>
      <c r="B15" s="149" t="s">
        <v>131</v>
      </c>
      <c r="C15" s="150">
        <v>1.0029999999999999</v>
      </c>
      <c r="D15" s="150">
        <v>1.0029999999999999</v>
      </c>
      <c r="E15" s="150">
        <v>1.0009999999999999</v>
      </c>
      <c r="F15" s="150">
        <v>1.0109999999999999</v>
      </c>
      <c r="G15" s="150"/>
      <c r="H15" s="226">
        <f ca="1">OFFSET($HH15,0,'Расчет стоимости'!$M$10,1,1)</f>
        <v>1</v>
      </c>
      <c r="I15" s="150">
        <v>1</v>
      </c>
      <c r="J15" s="150">
        <v>1</v>
      </c>
      <c r="K15" s="149">
        <v>1</v>
      </c>
      <c r="L15" s="149">
        <v>1</v>
      </c>
      <c r="M15" s="372">
        <v>2.1000000000000001E-2</v>
      </c>
      <c r="N15" s="145">
        <v>1.9E-2</v>
      </c>
      <c r="O15" s="145">
        <v>0.01</v>
      </c>
      <c r="P15" s="145">
        <v>3.2000000000000001E-2</v>
      </c>
      <c r="Q15" s="145">
        <v>0</v>
      </c>
      <c r="R15" s="152" t="s">
        <v>234</v>
      </c>
      <c r="S15" s="152"/>
      <c r="T15" s="225">
        <f t="shared" si="165"/>
        <v>1</v>
      </c>
      <c r="U15" s="225">
        <f t="shared" si="165"/>
        <v>1</v>
      </c>
      <c r="V15" s="225">
        <f t="shared" si="165"/>
        <v>1</v>
      </c>
      <c r="W15" s="225">
        <f t="shared" si="165"/>
        <v>1</v>
      </c>
      <c r="X15" s="145">
        <f t="shared" si="166"/>
        <v>1</v>
      </c>
      <c r="Y15" s="145">
        <v>6.62</v>
      </c>
      <c r="Z15" s="145">
        <v>6.63</v>
      </c>
      <c r="AA15" s="145">
        <v>6.63</v>
      </c>
      <c r="AB15" s="145">
        <v>6.66</v>
      </c>
      <c r="AC15" s="145">
        <v>6.8</v>
      </c>
      <c r="AD15" s="41">
        <v>6.77</v>
      </c>
      <c r="AE15" s="41">
        <v>1</v>
      </c>
      <c r="AF15" s="41">
        <v>1</v>
      </c>
      <c r="AG15" s="41">
        <v>1</v>
      </c>
      <c r="AH15" s="41">
        <v>1</v>
      </c>
      <c r="AI15" s="41">
        <v>1</v>
      </c>
      <c r="AJ15" s="41">
        <v>1</v>
      </c>
      <c r="AK15" s="41">
        <v>1</v>
      </c>
      <c r="AL15" s="41">
        <v>1</v>
      </c>
      <c r="AM15" s="41">
        <v>1</v>
      </c>
      <c r="AN15" s="41">
        <v>1</v>
      </c>
      <c r="AO15" s="41">
        <v>1</v>
      </c>
      <c r="AP15" s="41">
        <v>1</v>
      </c>
      <c r="AQ15" s="41">
        <v>1</v>
      </c>
      <c r="AR15" s="41">
        <v>1</v>
      </c>
      <c r="AS15" s="41">
        <v>1</v>
      </c>
      <c r="AT15" s="41">
        <v>1</v>
      </c>
      <c r="AU15" s="41">
        <v>1</v>
      </c>
      <c r="AV15" s="41">
        <v>1</v>
      </c>
      <c r="AW15" s="41">
        <v>1</v>
      </c>
      <c r="AX15" s="41">
        <v>1</v>
      </c>
      <c r="AY15" s="41">
        <v>1</v>
      </c>
      <c r="AZ15" s="41">
        <v>1</v>
      </c>
      <c r="BA15" s="41">
        <v>1</v>
      </c>
      <c r="BB15" s="41">
        <v>1</v>
      </c>
      <c r="BD15" s="145">
        <f t="shared" si="167"/>
        <v>1</v>
      </c>
      <c r="BE15" s="145">
        <v>3.68</v>
      </c>
      <c r="BF15" s="145">
        <v>3.76</v>
      </c>
      <c r="BG15" s="145">
        <v>3.76</v>
      </c>
      <c r="BH15" s="145">
        <v>3.78</v>
      </c>
      <c r="BI15" s="145">
        <v>3.86</v>
      </c>
      <c r="BJ15" s="41">
        <v>3.84</v>
      </c>
      <c r="BK15" s="41">
        <v>1</v>
      </c>
      <c r="BL15" s="41">
        <v>1</v>
      </c>
      <c r="BM15" s="41">
        <v>1</v>
      </c>
      <c r="BN15" s="41">
        <v>1</v>
      </c>
      <c r="BO15" s="41">
        <v>1</v>
      </c>
      <c r="BP15" s="41">
        <v>1</v>
      </c>
      <c r="BQ15" s="41">
        <v>1</v>
      </c>
      <c r="BR15" s="41">
        <v>1</v>
      </c>
      <c r="BS15" s="41">
        <v>1</v>
      </c>
      <c r="BT15" s="41">
        <v>1</v>
      </c>
      <c r="BU15" s="41">
        <v>1</v>
      </c>
      <c r="BV15" s="41">
        <v>1</v>
      </c>
      <c r="BW15" s="41">
        <v>1</v>
      </c>
      <c r="BX15" s="41">
        <v>1</v>
      </c>
      <c r="BY15" s="41">
        <v>1</v>
      </c>
      <c r="BZ15" s="41">
        <v>1</v>
      </c>
      <c r="CA15" s="41">
        <v>1</v>
      </c>
      <c r="CB15" s="41">
        <v>1</v>
      </c>
      <c r="CC15" s="41">
        <v>1</v>
      </c>
      <c r="CD15" s="41">
        <v>1</v>
      </c>
      <c r="CE15" s="41">
        <v>1</v>
      </c>
      <c r="CF15" s="41">
        <v>1</v>
      </c>
      <c r="CG15" s="41">
        <v>1</v>
      </c>
      <c r="CH15" s="41">
        <v>1</v>
      </c>
      <c r="CJ15" s="145">
        <f t="shared" si="168"/>
        <v>1</v>
      </c>
      <c r="CK15" s="145">
        <v>4.42</v>
      </c>
      <c r="CL15" s="145">
        <v>4.5</v>
      </c>
      <c r="CM15" s="145">
        <v>4.5</v>
      </c>
      <c r="CN15" s="145">
        <v>4.5199999999999996</v>
      </c>
      <c r="CO15" s="145">
        <v>4.6100000000000003</v>
      </c>
      <c r="CP15" s="41">
        <v>4.55</v>
      </c>
      <c r="CQ15" s="41">
        <v>1</v>
      </c>
      <c r="CR15" s="41">
        <v>1</v>
      </c>
      <c r="CS15" s="41">
        <v>1</v>
      </c>
      <c r="CT15" s="41">
        <v>1</v>
      </c>
      <c r="CU15" s="41">
        <v>1</v>
      </c>
      <c r="CV15" s="41">
        <v>1</v>
      </c>
      <c r="CW15" s="41">
        <v>1</v>
      </c>
      <c r="CX15" s="41">
        <v>1</v>
      </c>
      <c r="CY15" s="41">
        <v>1</v>
      </c>
      <c r="CZ15" s="41">
        <v>1</v>
      </c>
      <c r="DA15" s="41">
        <v>1</v>
      </c>
      <c r="DB15" s="41">
        <v>1</v>
      </c>
      <c r="DC15" s="41">
        <v>1</v>
      </c>
      <c r="DD15" s="41">
        <v>1</v>
      </c>
      <c r="DE15" s="41">
        <v>1</v>
      </c>
      <c r="DF15" s="41">
        <v>1</v>
      </c>
      <c r="DG15" s="41">
        <v>1</v>
      </c>
      <c r="DH15" s="41">
        <v>1</v>
      </c>
      <c r="DI15" s="41">
        <v>1</v>
      </c>
      <c r="DJ15" s="41">
        <v>1</v>
      </c>
      <c r="DK15" s="41">
        <v>1</v>
      </c>
      <c r="DL15" s="41">
        <v>1</v>
      </c>
      <c r="DM15" s="41">
        <v>1</v>
      </c>
      <c r="DN15" s="41">
        <v>1</v>
      </c>
      <c r="DP15" s="145">
        <f t="shared" si="169"/>
        <v>1</v>
      </c>
      <c r="DQ15" s="145">
        <v>5.51</v>
      </c>
      <c r="DR15" s="145">
        <v>5.56</v>
      </c>
      <c r="DS15" s="145">
        <v>5.56</v>
      </c>
      <c r="DT15" s="145">
        <v>5.58</v>
      </c>
      <c r="DU15" s="145">
        <v>5.7</v>
      </c>
      <c r="DV15" s="41">
        <v>5.68</v>
      </c>
      <c r="DW15" s="41">
        <v>1</v>
      </c>
      <c r="DX15" s="41">
        <v>1</v>
      </c>
      <c r="DY15" s="41">
        <v>1</v>
      </c>
      <c r="DZ15" s="41">
        <v>1</v>
      </c>
      <c r="EA15" s="41">
        <v>1</v>
      </c>
      <c r="EB15" s="41">
        <v>1</v>
      </c>
      <c r="EC15" s="41">
        <v>1</v>
      </c>
      <c r="ED15" s="41">
        <v>1</v>
      </c>
      <c r="EE15" s="41">
        <v>1</v>
      </c>
      <c r="EF15" s="41">
        <v>1</v>
      </c>
      <c r="EG15" s="41">
        <v>1</v>
      </c>
      <c r="EH15" s="41">
        <v>1</v>
      </c>
      <c r="EI15" s="41">
        <v>1</v>
      </c>
      <c r="EJ15" s="41">
        <v>1</v>
      </c>
      <c r="EK15" s="41">
        <v>1</v>
      </c>
      <c r="EL15" s="41">
        <v>1</v>
      </c>
      <c r="EM15" s="41">
        <v>1</v>
      </c>
      <c r="EN15" s="41">
        <v>1</v>
      </c>
      <c r="EO15" s="41">
        <v>1</v>
      </c>
      <c r="EP15" s="41">
        <v>1</v>
      </c>
      <c r="EQ15" s="41">
        <v>1</v>
      </c>
      <c r="ER15" s="41">
        <v>1</v>
      </c>
      <c r="ES15" s="41">
        <v>1</v>
      </c>
      <c r="ET15" s="41">
        <v>1</v>
      </c>
      <c r="EV15" s="145">
        <f t="shared" si="170"/>
        <v>1</v>
      </c>
      <c r="EW15" s="145">
        <v>5.57</v>
      </c>
      <c r="EX15" s="145">
        <v>5.69</v>
      </c>
      <c r="EY15" s="145">
        <v>5.69</v>
      </c>
      <c r="EZ15" s="145">
        <v>5.71</v>
      </c>
      <c r="FA15" s="145">
        <v>5.83</v>
      </c>
      <c r="FB15" s="41">
        <v>5.78</v>
      </c>
      <c r="FC15" s="41">
        <v>1</v>
      </c>
      <c r="FD15" s="41">
        <v>1</v>
      </c>
      <c r="FE15" s="41">
        <v>1</v>
      </c>
      <c r="FF15" s="41">
        <v>1</v>
      </c>
      <c r="FG15" s="41">
        <v>1</v>
      </c>
      <c r="FH15" s="41">
        <v>1</v>
      </c>
      <c r="FI15" s="41">
        <v>1</v>
      </c>
      <c r="FJ15" s="41">
        <v>1</v>
      </c>
      <c r="FK15" s="41">
        <v>1</v>
      </c>
      <c r="FL15" s="41">
        <v>1</v>
      </c>
      <c r="FM15" s="41">
        <v>1</v>
      </c>
      <c r="FN15" s="41">
        <v>1</v>
      </c>
      <c r="FO15" s="41">
        <v>1</v>
      </c>
      <c r="FP15" s="41">
        <v>1</v>
      </c>
      <c r="FQ15" s="41">
        <v>1</v>
      </c>
      <c r="FR15" s="41">
        <v>1</v>
      </c>
      <c r="FS15" s="41">
        <v>1</v>
      </c>
      <c r="FT15" s="41">
        <v>1</v>
      </c>
      <c r="FU15" s="41">
        <v>1</v>
      </c>
      <c r="FV15" s="41">
        <v>1</v>
      </c>
      <c r="FW15" s="41">
        <v>1</v>
      </c>
      <c r="FX15" s="41">
        <v>1</v>
      </c>
      <c r="FY15" s="41">
        <v>1</v>
      </c>
      <c r="FZ15" s="41">
        <v>1</v>
      </c>
      <c r="GB15" s="145">
        <f t="shared" si="171"/>
        <v>1</v>
      </c>
      <c r="GC15" s="145">
        <v>16.48</v>
      </c>
      <c r="GD15" s="145">
        <v>16.52</v>
      </c>
      <c r="GE15" s="145">
        <v>16.52</v>
      </c>
      <c r="GF15" s="145">
        <v>16.59</v>
      </c>
      <c r="GG15" s="145">
        <v>16.940000000000001</v>
      </c>
      <c r="GH15" s="41">
        <v>16.87</v>
      </c>
      <c r="GI15" s="41">
        <v>1</v>
      </c>
      <c r="GJ15" s="41">
        <v>1</v>
      </c>
      <c r="GK15" s="41">
        <v>1</v>
      </c>
      <c r="GL15" s="41">
        <v>1</v>
      </c>
      <c r="GM15" s="41">
        <v>1</v>
      </c>
      <c r="GN15" s="41">
        <v>1</v>
      </c>
      <c r="GO15" s="41">
        <v>1</v>
      </c>
      <c r="GP15" s="41">
        <v>1</v>
      </c>
      <c r="GQ15" s="41">
        <v>1</v>
      </c>
      <c r="GR15" s="41">
        <v>1</v>
      </c>
      <c r="GS15" s="41">
        <v>1</v>
      </c>
      <c r="GT15" s="41">
        <v>1</v>
      </c>
      <c r="GU15" s="41">
        <v>1</v>
      </c>
      <c r="GV15" s="41">
        <v>1</v>
      </c>
      <c r="GW15" s="41">
        <v>1</v>
      </c>
      <c r="GX15" s="41">
        <v>1</v>
      </c>
      <c r="GY15" s="41">
        <v>1</v>
      </c>
      <c r="GZ15" s="41">
        <v>1</v>
      </c>
      <c r="HA15" s="41">
        <v>1</v>
      </c>
      <c r="HB15" s="41">
        <v>1</v>
      </c>
      <c r="HC15" s="41">
        <v>1</v>
      </c>
      <c r="HD15" s="41">
        <v>1</v>
      </c>
      <c r="HE15" s="41">
        <v>1</v>
      </c>
      <c r="HF15" s="41">
        <v>1</v>
      </c>
      <c r="HH15" s="373">
        <v>1</v>
      </c>
      <c r="HI15" s="218">
        <v>1</v>
      </c>
      <c r="HJ15" s="229">
        <v>1</v>
      </c>
      <c r="HK15" s="229">
        <v>1</v>
      </c>
      <c r="HM15" s="373">
        <f t="shared" si="173"/>
        <v>1</v>
      </c>
      <c r="HN15" s="145">
        <v>1</v>
      </c>
    </row>
    <row r="16" spans="1:251" ht="12.75" hidden="1" customHeight="1" x14ac:dyDescent="0.2">
      <c r="A16" s="373">
        <f t="shared" si="172"/>
        <v>12</v>
      </c>
      <c r="B16" s="149" t="s">
        <v>132</v>
      </c>
      <c r="C16" s="150">
        <v>1.0069999999999999</v>
      </c>
      <c r="D16" s="150">
        <v>1.006</v>
      </c>
      <c r="E16" s="150">
        <v>1.0089999999999999</v>
      </c>
      <c r="F16" s="150">
        <v>1.008</v>
      </c>
      <c r="G16" s="150"/>
      <c r="H16" s="226">
        <f ca="1">OFFSET($HH16,0,'Расчет стоимости'!$M$10,1,1)</f>
        <v>1</v>
      </c>
      <c r="I16" s="150">
        <v>1</v>
      </c>
      <c r="J16" s="150">
        <v>1</v>
      </c>
      <c r="K16" s="149">
        <v>1</v>
      </c>
      <c r="L16" s="149">
        <v>1</v>
      </c>
      <c r="M16" s="372">
        <v>2.1000000000000001E-2</v>
      </c>
      <c r="N16" s="145">
        <v>1.9E-2</v>
      </c>
      <c r="O16" s="145">
        <v>0.01</v>
      </c>
      <c r="P16" s="145">
        <v>3.2000000000000001E-2</v>
      </c>
      <c r="Q16" s="145">
        <v>0</v>
      </c>
      <c r="R16" s="152" t="s">
        <v>234</v>
      </c>
      <c r="S16" s="152"/>
      <c r="T16" s="225">
        <f t="shared" si="165"/>
        <v>1</v>
      </c>
      <c r="U16" s="225">
        <f t="shared" si="165"/>
        <v>1</v>
      </c>
      <c r="V16" s="225">
        <f t="shared" si="165"/>
        <v>1</v>
      </c>
      <c r="W16" s="225">
        <f t="shared" si="165"/>
        <v>1</v>
      </c>
      <c r="X16" s="145">
        <f t="shared" si="166"/>
        <v>1</v>
      </c>
      <c r="Y16" s="145">
        <v>5.65</v>
      </c>
      <c r="Z16" s="145">
        <v>5.77</v>
      </c>
      <c r="AA16" s="145">
        <v>5.77</v>
      </c>
      <c r="AB16" s="145">
        <v>5.79</v>
      </c>
      <c r="AC16" s="145">
        <v>5.91</v>
      </c>
      <c r="AD16" s="41">
        <v>5.89</v>
      </c>
      <c r="AE16" s="41">
        <v>1</v>
      </c>
      <c r="AF16" s="41">
        <v>1</v>
      </c>
      <c r="AG16" s="41">
        <v>1</v>
      </c>
      <c r="AH16" s="41">
        <v>1</v>
      </c>
      <c r="AI16" s="41">
        <v>1</v>
      </c>
      <c r="AJ16" s="41">
        <v>1</v>
      </c>
      <c r="AK16" s="41">
        <v>1</v>
      </c>
      <c r="AL16" s="41">
        <v>1</v>
      </c>
      <c r="AM16" s="41">
        <v>1</v>
      </c>
      <c r="AN16" s="41">
        <v>1</v>
      </c>
      <c r="AO16" s="41">
        <v>1</v>
      </c>
      <c r="AP16" s="41">
        <v>1</v>
      </c>
      <c r="AQ16" s="41">
        <v>1</v>
      </c>
      <c r="AR16" s="41">
        <v>1</v>
      </c>
      <c r="AS16" s="41">
        <v>1</v>
      </c>
      <c r="AT16" s="41">
        <v>1</v>
      </c>
      <c r="AU16" s="41">
        <v>1</v>
      </c>
      <c r="AV16" s="41">
        <v>1</v>
      </c>
      <c r="AW16" s="41">
        <v>1</v>
      </c>
      <c r="AX16" s="41">
        <v>1</v>
      </c>
      <c r="AY16" s="41">
        <v>1</v>
      </c>
      <c r="AZ16" s="41">
        <v>1</v>
      </c>
      <c r="BA16" s="41">
        <v>1</v>
      </c>
      <c r="BB16" s="41">
        <v>1</v>
      </c>
      <c r="BD16" s="145">
        <f t="shared" si="167"/>
        <v>1</v>
      </c>
      <c r="BE16" s="145">
        <v>4.16</v>
      </c>
      <c r="BF16" s="145">
        <v>4.24</v>
      </c>
      <c r="BG16" s="145">
        <v>4.24</v>
      </c>
      <c r="BH16" s="145">
        <v>4.26</v>
      </c>
      <c r="BI16" s="145">
        <v>4.3499999999999996</v>
      </c>
      <c r="BJ16" s="41">
        <v>4.33</v>
      </c>
      <c r="BK16" s="41">
        <v>1</v>
      </c>
      <c r="BL16" s="41">
        <v>1</v>
      </c>
      <c r="BM16" s="41">
        <v>1</v>
      </c>
      <c r="BN16" s="41">
        <v>1</v>
      </c>
      <c r="BO16" s="41">
        <v>1</v>
      </c>
      <c r="BP16" s="41">
        <v>1</v>
      </c>
      <c r="BQ16" s="41">
        <v>1</v>
      </c>
      <c r="BR16" s="41">
        <v>1</v>
      </c>
      <c r="BS16" s="41">
        <v>1</v>
      </c>
      <c r="BT16" s="41">
        <v>1</v>
      </c>
      <c r="BU16" s="41">
        <v>1</v>
      </c>
      <c r="BV16" s="41">
        <v>1</v>
      </c>
      <c r="BW16" s="41">
        <v>1</v>
      </c>
      <c r="BX16" s="41">
        <v>1</v>
      </c>
      <c r="BY16" s="41">
        <v>1</v>
      </c>
      <c r="BZ16" s="41">
        <v>1</v>
      </c>
      <c r="CA16" s="41">
        <v>1</v>
      </c>
      <c r="CB16" s="41">
        <v>1</v>
      </c>
      <c r="CC16" s="41">
        <v>1</v>
      </c>
      <c r="CD16" s="41">
        <v>1</v>
      </c>
      <c r="CE16" s="41">
        <v>1</v>
      </c>
      <c r="CF16" s="41">
        <v>1</v>
      </c>
      <c r="CG16" s="41">
        <v>1</v>
      </c>
      <c r="CH16" s="41">
        <v>1</v>
      </c>
      <c r="CJ16" s="145">
        <f t="shared" si="168"/>
        <v>1</v>
      </c>
      <c r="CK16" s="145">
        <v>4.18</v>
      </c>
      <c r="CL16" s="145">
        <v>4.26</v>
      </c>
      <c r="CM16" s="145">
        <v>4.26</v>
      </c>
      <c r="CN16" s="145">
        <v>4.28</v>
      </c>
      <c r="CO16" s="145">
        <v>4.37</v>
      </c>
      <c r="CP16" s="41">
        <v>4.3499999999999996</v>
      </c>
      <c r="CQ16" s="41">
        <v>1</v>
      </c>
      <c r="CR16" s="41">
        <v>1</v>
      </c>
      <c r="CS16" s="41">
        <v>1</v>
      </c>
      <c r="CT16" s="41">
        <v>1</v>
      </c>
      <c r="CU16" s="41">
        <v>1</v>
      </c>
      <c r="CV16" s="41">
        <v>1</v>
      </c>
      <c r="CW16" s="41">
        <v>1</v>
      </c>
      <c r="CX16" s="41">
        <v>1</v>
      </c>
      <c r="CY16" s="41">
        <v>1</v>
      </c>
      <c r="CZ16" s="41">
        <v>1</v>
      </c>
      <c r="DA16" s="41">
        <v>1</v>
      </c>
      <c r="DB16" s="41">
        <v>1</v>
      </c>
      <c r="DC16" s="41">
        <v>1</v>
      </c>
      <c r="DD16" s="41">
        <v>1</v>
      </c>
      <c r="DE16" s="41">
        <v>1</v>
      </c>
      <c r="DF16" s="41">
        <v>1</v>
      </c>
      <c r="DG16" s="41">
        <v>1</v>
      </c>
      <c r="DH16" s="41">
        <v>1</v>
      </c>
      <c r="DI16" s="41">
        <v>1</v>
      </c>
      <c r="DJ16" s="41">
        <v>1</v>
      </c>
      <c r="DK16" s="41">
        <v>1</v>
      </c>
      <c r="DL16" s="41">
        <v>1</v>
      </c>
      <c r="DM16" s="41">
        <v>1</v>
      </c>
      <c r="DN16" s="41">
        <v>1</v>
      </c>
      <c r="DP16" s="145">
        <f t="shared" si="169"/>
        <v>1</v>
      </c>
      <c r="DQ16" s="145">
        <v>4.66</v>
      </c>
      <c r="DR16" s="145">
        <v>4.76</v>
      </c>
      <c r="DS16" s="145">
        <v>4.76</v>
      </c>
      <c r="DT16" s="145">
        <v>4.78</v>
      </c>
      <c r="DU16" s="145">
        <v>4.88</v>
      </c>
      <c r="DV16" s="41">
        <v>4.8600000000000003</v>
      </c>
      <c r="DW16" s="41">
        <v>1</v>
      </c>
      <c r="DX16" s="41">
        <v>1</v>
      </c>
      <c r="DY16" s="41">
        <v>1</v>
      </c>
      <c r="DZ16" s="41">
        <v>1</v>
      </c>
      <c r="EA16" s="41">
        <v>1</v>
      </c>
      <c r="EB16" s="41">
        <v>1</v>
      </c>
      <c r="EC16" s="41">
        <v>1</v>
      </c>
      <c r="ED16" s="41">
        <v>1</v>
      </c>
      <c r="EE16" s="41">
        <v>1</v>
      </c>
      <c r="EF16" s="41">
        <v>1</v>
      </c>
      <c r="EG16" s="41">
        <v>1</v>
      </c>
      <c r="EH16" s="41">
        <v>1</v>
      </c>
      <c r="EI16" s="41">
        <v>1</v>
      </c>
      <c r="EJ16" s="41">
        <v>1</v>
      </c>
      <c r="EK16" s="41">
        <v>1</v>
      </c>
      <c r="EL16" s="41">
        <v>1</v>
      </c>
      <c r="EM16" s="41">
        <v>1</v>
      </c>
      <c r="EN16" s="41">
        <v>1</v>
      </c>
      <c r="EO16" s="41">
        <v>1</v>
      </c>
      <c r="EP16" s="41">
        <v>1</v>
      </c>
      <c r="EQ16" s="41">
        <v>1</v>
      </c>
      <c r="ER16" s="41">
        <v>1</v>
      </c>
      <c r="ES16" s="41">
        <v>1</v>
      </c>
      <c r="ET16" s="41">
        <v>1</v>
      </c>
      <c r="EV16" s="145">
        <f t="shared" si="170"/>
        <v>1</v>
      </c>
      <c r="EW16" s="145">
        <v>4.42</v>
      </c>
      <c r="EX16" s="145">
        <v>4.5</v>
      </c>
      <c r="EY16" s="145">
        <v>4.5</v>
      </c>
      <c r="EZ16" s="145">
        <v>4.5199999999999996</v>
      </c>
      <c r="FA16" s="145">
        <v>4.6100000000000003</v>
      </c>
      <c r="FB16" s="41">
        <v>4.59</v>
      </c>
      <c r="FC16" s="41">
        <v>1</v>
      </c>
      <c r="FD16" s="41">
        <v>1</v>
      </c>
      <c r="FE16" s="41">
        <v>1</v>
      </c>
      <c r="FF16" s="41">
        <v>1</v>
      </c>
      <c r="FG16" s="41">
        <v>1</v>
      </c>
      <c r="FH16" s="41">
        <v>1</v>
      </c>
      <c r="FI16" s="41">
        <v>1</v>
      </c>
      <c r="FJ16" s="41">
        <v>1</v>
      </c>
      <c r="FK16" s="41">
        <v>1</v>
      </c>
      <c r="FL16" s="41">
        <v>1</v>
      </c>
      <c r="FM16" s="41">
        <v>1</v>
      </c>
      <c r="FN16" s="41">
        <v>1</v>
      </c>
      <c r="FO16" s="41">
        <v>1</v>
      </c>
      <c r="FP16" s="41">
        <v>1</v>
      </c>
      <c r="FQ16" s="41">
        <v>1</v>
      </c>
      <c r="FR16" s="41">
        <v>1</v>
      </c>
      <c r="FS16" s="41">
        <v>1</v>
      </c>
      <c r="FT16" s="41">
        <v>1</v>
      </c>
      <c r="FU16" s="41">
        <v>1</v>
      </c>
      <c r="FV16" s="41">
        <v>1</v>
      </c>
      <c r="FW16" s="41">
        <v>1</v>
      </c>
      <c r="FX16" s="41">
        <v>1</v>
      </c>
      <c r="FY16" s="41">
        <v>1</v>
      </c>
      <c r="FZ16" s="41">
        <v>1</v>
      </c>
      <c r="GB16" s="145">
        <f t="shared" si="171"/>
        <v>1</v>
      </c>
      <c r="GC16" s="145">
        <v>10.34</v>
      </c>
      <c r="GD16" s="145">
        <v>10.54</v>
      </c>
      <c r="GE16" s="145">
        <v>10.54</v>
      </c>
      <c r="GF16" s="145">
        <v>10.58</v>
      </c>
      <c r="GG16" s="145">
        <v>10.8</v>
      </c>
      <c r="GH16" s="41">
        <v>10.76</v>
      </c>
      <c r="GI16" s="41">
        <v>1</v>
      </c>
      <c r="GJ16" s="41">
        <v>1</v>
      </c>
      <c r="GK16" s="41">
        <v>1</v>
      </c>
      <c r="GL16" s="41">
        <v>1</v>
      </c>
      <c r="GM16" s="41">
        <v>1</v>
      </c>
      <c r="GN16" s="41">
        <v>1</v>
      </c>
      <c r="GO16" s="41">
        <v>1</v>
      </c>
      <c r="GP16" s="41">
        <v>1</v>
      </c>
      <c r="GQ16" s="41">
        <v>1</v>
      </c>
      <c r="GR16" s="41">
        <v>1</v>
      </c>
      <c r="GS16" s="41">
        <v>1</v>
      </c>
      <c r="GT16" s="41">
        <v>1</v>
      </c>
      <c r="GU16" s="41">
        <v>1</v>
      </c>
      <c r="GV16" s="41">
        <v>1</v>
      </c>
      <c r="GW16" s="41">
        <v>1</v>
      </c>
      <c r="GX16" s="41">
        <v>1</v>
      </c>
      <c r="GY16" s="41">
        <v>1</v>
      </c>
      <c r="GZ16" s="41">
        <v>1</v>
      </c>
      <c r="HA16" s="41">
        <v>1</v>
      </c>
      <c r="HB16" s="41">
        <v>1</v>
      </c>
      <c r="HC16" s="41">
        <v>1</v>
      </c>
      <c r="HD16" s="41">
        <v>1</v>
      </c>
      <c r="HE16" s="41">
        <v>1</v>
      </c>
      <c r="HF16" s="41">
        <v>1</v>
      </c>
      <c r="HH16" s="373">
        <v>1</v>
      </c>
      <c r="HI16" s="218">
        <v>1</v>
      </c>
      <c r="HJ16" s="229">
        <v>1</v>
      </c>
      <c r="HK16" s="229">
        <v>1</v>
      </c>
      <c r="HM16" s="373">
        <f t="shared" si="173"/>
        <v>1</v>
      </c>
      <c r="HN16" s="145">
        <v>1</v>
      </c>
    </row>
    <row r="17" spans="1:247" ht="12.75" hidden="1" customHeight="1" x14ac:dyDescent="0.2">
      <c r="A17" s="373">
        <f t="shared" si="172"/>
        <v>13</v>
      </c>
      <c r="B17" s="149" t="s">
        <v>1248</v>
      </c>
      <c r="C17" s="150">
        <v>1.026</v>
      </c>
      <c r="D17" s="150">
        <v>1.036</v>
      </c>
      <c r="E17" s="150">
        <v>1</v>
      </c>
      <c r="F17" s="150">
        <v>0.99099999999999999</v>
      </c>
      <c r="G17" s="150"/>
      <c r="H17" s="226">
        <f ca="1">OFFSET($HH17,0,'Расчет стоимости'!$M$10,1,1)</f>
        <v>1</v>
      </c>
      <c r="I17" s="150">
        <v>1</v>
      </c>
      <c r="J17" s="150">
        <v>1</v>
      </c>
      <c r="K17" s="149">
        <v>1</v>
      </c>
      <c r="L17" s="149">
        <v>1</v>
      </c>
      <c r="M17" s="372">
        <v>2.1000000000000001E-2</v>
      </c>
      <c r="N17" s="145">
        <v>1.9E-2</v>
      </c>
      <c r="O17" s="145">
        <v>0.01</v>
      </c>
      <c r="P17" s="145">
        <v>3.2000000000000001E-2</v>
      </c>
      <c r="Q17" s="145">
        <v>0</v>
      </c>
      <c r="R17" s="152" t="s">
        <v>234</v>
      </c>
      <c r="S17" s="152"/>
      <c r="T17" s="225">
        <f t="shared" si="165"/>
        <v>1</v>
      </c>
      <c r="U17" s="225">
        <f t="shared" si="165"/>
        <v>1</v>
      </c>
      <c r="V17" s="225">
        <f t="shared" si="165"/>
        <v>1</v>
      </c>
      <c r="W17" s="225">
        <f t="shared" si="165"/>
        <v>1</v>
      </c>
      <c r="X17" s="145">
        <f t="shared" si="166"/>
        <v>1</v>
      </c>
      <c r="Y17" s="145">
        <v>5.94</v>
      </c>
      <c r="Z17" s="145">
        <v>6.06</v>
      </c>
      <c r="AA17" s="145">
        <v>6.06</v>
      </c>
      <c r="AB17" s="145">
        <v>6.08</v>
      </c>
      <c r="AC17" s="145">
        <v>6.21</v>
      </c>
      <c r="AD17" s="41">
        <v>6.19</v>
      </c>
      <c r="AE17" s="41">
        <v>1</v>
      </c>
      <c r="AF17" s="41">
        <v>1</v>
      </c>
      <c r="AG17" s="41">
        <v>1</v>
      </c>
      <c r="AH17" s="41">
        <v>1</v>
      </c>
      <c r="AI17" s="41">
        <v>1</v>
      </c>
      <c r="AJ17" s="41">
        <v>1</v>
      </c>
      <c r="AK17" s="41">
        <v>1</v>
      </c>
      <c r="AL17" s="41">
        <v>1</v>
      </c>
      <c r="AM17" s="41">
        <v>1</v>
      </c>
      <c r="AN17" s="41">
        <v>1</v>
      </c>
      <c r="AO17" s="41">
        <v>1</v>
      </c>
      <c r="AP17" s="41">
        <v>1</v>
      </c>
      <c r="AQ17" s="41">
        <v>1</v>
      </c>
      <c r="AR17" s="41">
        <v>1</v>
      </c>
      <c r="AS17" s="41">
        <v>1</v>
      </c>
      <c r="AT17" s="41">
        <v>1</v>
      </c>
      <c r="AU17" s="41">
        <v>1</v>
      </c>
      <c r="AV17" s="41">
        <v>1</v>
      </c>
      <c r="AW17" s="41">
        <v>1</v>
      </c>
      <c r="AX17" s="41">
        <v>1</v>
      </c>
      <c r="AY17" s="41">
        <v>1</v>
      </c>
      <c r="AZ17" s="41">
        <v>1</v>
      </c>
      <c r="BA17" s="41">
        <v>1</v>
      </c>
      <c r="BB17" s="41">
        <v>1</v>
      </c>
      <c r="BD17" s="145">
        <f t="shared" si="167"/>
        <v>1</v>
      </c>
      <c r="BE17" s="145">
        <v>3.93</v>
      </c>
      <c r="BF17" s="145">
        <v>3.92</v>
      </c>
      <c r="BG17" s="145">
        <v>3.92</v>
      </c>
      <c r="BH17" s="145">
        <v>3.94</v>
      </c>
      <c r="BI17" s="145">
        <v>4.0199999999999996</v>
      </c>
      <c r="BJ17" s="41">
        <v>4</v>
      </c>
      <c r="BK17" s="41">
        <v>1</v>
      </c>
      <c r="BL17" s="41">
        <v>1</v>
      </c>
      <c r="BM17" s="41">
        <v>1</v>
      </c>
      <c r="BN17" s="41">
        <v>1</v>
      </c>
      <c r="BO17" s="41">
        <v>1</v>
      </c>
      <c r="BP17" s="41">
        <v>1</v>
      </c>
      <c r="BQ17" s="41">
        <v>1</v>
      </c>
      <c r="BR17" s="41">
        <v>1</v>
      </c>
      <c r="BS17" s="41">
        <v>1</v>
      </c>
      <c r="BT17" s="41">
        <v>1</v>
      </c>
      <c r="BU17" s="41">
        <v>1</v>
      </c>
      <c r="BV17" s="41">
        <v>1</v>
      </c>
      <c r="BW17" s="41">
        <v>1</v>
      </c>
      <c r="BX17" s="41">
        <v>1</v>
      </c>
      <c r="BY17" s="41">
        <v>1</v>
      </c>
      <c r="BZ17" s="41">
        <v>1</v>
      </c>
      <c r="CA17" s="41">
        <v>1</v>
      </c>
      <c r="CB17" s="41">
        <v>1</v>
      </c>
      <c r="CC17" s="41">
        <v>1</v>
      </c>
      <c r="CD17" s="41">
        <v>1</v>
      </c>
      <c r="CE17" s="41">
        <v>1</v>
      </c>
      <c r="CF17" s="41">
        <v>1</v>
      </c>
      <c r="CG17" s="41">
        <v>1</v>
      </c>
      <c r="CH17" s="41">
        <v>1</v>
      </c>
      <c r="CJ17" s="145">
        <f t="shared" si="168"/>
        <v>1</v>
      </c>
      <c r="CK17" s="145">
        <v>4.58</v>
      </c>
      <c r="CL17" s="145">
        <v>4.54</v>
      </c>
      <c r="CM17" s="145">
        <v>4.54</v>
      </c>
      <c r="CN17" s="145">
        <v>4.5599999999999996</v>
      </c>
      <c r="CO17" s="145">
        <v>4.62</v>
      </c>
      <c r="CP17" s="41">
        <v>4.5999999999999996</v>
      </c>
      <c r="CQ17" s="41">
        <v>1</v>
      </c>
      <c r="CR17" s="41">
        <v>1</v>
      </c>
      <c r="CS17" s="41">
        <v>1</v>
      </c>
      <c r="CT17" s="41">
        <v>1</v>
      </c>
      <c r="CU17" s="41">
        <v>1</v>
      </c>
      <c r="CV17" s="41">
        <v>1</v>
      </c>
      <c r="CW17" s="41">
        <v>1</v>
      </c>
      <c r="CX17" s="41">
        <v>1</v>
      </c>
      <c r="CY17" s="41">
        <v>1</v>
      </c>
      <c r="CZ17" s="41">
        <v>1</v>
      </c>
      <c r="DA17" s="41">
        <v>1</v>
      </c>
      <c r="DB17" s="41">
        <v>1</v>
      </c>
      <c r="DC17" s="41">
        <v>1</v>
      </c>
      <c r="DD17" s="41">
        <v>1</v>
      </c>
      <c r="DE17" s="41">
        <v>1</v>
      </c>
      <c r="DF17" s="41">
        <v>1</v>
      </c>
      <c r="DG17" s="41">
        <v>1</v>
      </c>
      <c r="DH17" s="41">
        <v>1</v>
      </c>
      <c r="DI17" s="41">
        <v>1</v>
      </c>
      <c r="DJ17" s="41">
        <v>1</v>
      </c>
      <c r="DK17" s="41">
        <v>1</v>
      </c>
      <c r="DL17" s="41">
        <v>1</v>
      </c>
      <c r="DM17" s="41">
        <v>1</v>
      </c>
      <c r="DN17" s="41">
        <v>1</v>
      </c>
      <c r="DP17" s="145">
        <f t="shared" si="169"/>
        <v>1</v>
      </c>
      <c r="DQ17" s="145">
        <v>4.75</v>
      </c>
      <c r="DR17" s="145">
        <v>4.79</v>
      </c>
      <c r="DS17" s="145">
        <v>4.79</v>
      </c>
      <c r="DT17" s="145">
        <v>4.8099999999999996</v>
      </c>
      <c r="DU17" s="145">
        <v>4.91</v>
      </c>
      <c r="DV17" s="41">
        <v>4.8899999999999997</v>
      </c>
      <c r="DW17" s="41">
        <v>1</v>
      </c>
      <c r="DX17" s="41">
        <v>1</v>
      </c>
      <c r="DY17" s="41">
        <v>1</v>
      </c>
      <c r="DZ17" s="41">
        <v>1</v>
      </c>
      <c r="EA17" s="41">
        <v>1</v>
      </c>
      <c r="EB17" s="41">
        <v>1</v>
      </c>
      <c r="EC17" s="41">
        <v>1</v>
      </c>
      <c r="ED17" s="41">
        <v>1</v>
      </c>
      <c r="EE17" s="41">
        <v>1</v>
      </c>
      <c r="EF17" s="41">
        <v>1</v>
      </c>
      <c r="EG17" s="41">
        <v>1</v>
      </c>
      <c r="EH17" s="41">
        <v>1</v>
      </c>
      <c r="EI17" s="41">
        <v>1</v>
      </c>
      <c r="EJ17" s="41">
        <v>1</v>
      </c>
      <c r="EK17" s="41">
        <v>1</v>
      </c>
      <c r="EL17" s="41">
        <v>1</v>
      </c>
      <c r="EM17" s="41">
        <v>1</v>
      </c>
      <c r="EN17" s="41">
        <v>1</v>
      </c>
      <c r="EO17" s="41">
        <v>1</v>
      </c>
      <c r="EP17" s="41">
        <v>1</v>
      </c>
      <c r="EQ17" s="41">
        <v>1</v>
      </c>
      <c r="ER17" s="41">
        <v>1</v>
      </c>
      <c r="ES17" s="41">
        <v>1</v>
      </c>
      <c r="ET17" s="41">
        <v>1</v>
      </c>
      <c r="EV17" s="145">
        <f t="shared" si="170"/>
        <v>1</v>
      </c>
      <c r="EW17" s="145">
        <v>4.96</v>
      </c>
      <c r="EX17" s="145">
        <v>4.9400000000000004</v>
      </c>
      <c r="EY17" s="145">
        <v>4.9400000000000004</v>
      </c>
      <c r="EZ17" s="145">
        <v>4.96</v>
      </c>
      <c r="FA17" s="145">
        <v>5.04</v>
      </c>
      <c r="FB17" s="41">
        <v>5.0199999999999996</v>
      </c>
      <c r="FC17" s="41">
        <v>1</v>
      </c>
      <c r="FD17" s="41">
        <v>1</v>
      </c>
      <c r="FE17" s="41">
        <v>1</v>
      </c>
      <c r="FF17" s="41">
        <v>1</v>
      </c>
      <c r="FG17" s="41">
        <v>1</v>
      </c>
      <c r="FH17" s="41">
        <v>1</v>
      </c>
      <c r="FI17" s="41">
        <v>1</v>
      </c>
      <c r="FJ17" s="41">
        <v>1</v>
      </c>
      <c r="FK17" s="41">
        <v>1</v>
      </c>
      <c r="FL17" s="41">
        <v>1</v>
      </c>
      <c r="FM17" s="41">
        <v>1</v>
      </c>
      <c r="FN17" s="41">
        <v>1</v>
      </c>
      <c r="FO17" s="41">
        <v>1</v>
      </c>
      <c r="FP17" s="41">
        <v>1</v>
      </c>
      <c r="FQ17" s="41">
        <v>1</v>
      </c>
      <c r="FR17" s="41">
        <v>1</v>
      </c>
      <c r="FS17" s="41">
        <v>1</v>
      </c>
      <c r="FT17" s="41">
        <v>1</v>
      </c>
      <c r="FU17" s="41">
        <v>1</v>
      </c>
      <c r="FV17" s="41">
        <v>1</v>
      </c>
      <c r="FW17" s="41">
        <v>1</v>
      </c>
      <c r="FX17" s="41">
        <v>1</v>
      </c>
      <c r="FY17" s="41">
        <v>1</v>
      </c>
      <c r="FZ17" s="41">
        <v>1</v>
      </c>
      <c r="GB17" s="145">
        <f t="shared" si="171"/>
        <v>1</v>
      </c>
      <c r="GC17" s="145">
        <v>10.32</v>
      </c>
      <c r="GD17" s="145">
        <v>10.51</v>
      </c>
      <c r="GE17" s="145">
        <v>10.51</v>
      </c>
      <c r="GF17" s="145">
        <v>10.55</v>
      </c>
      <c r="GG17" s="145">
        <v>10.77</v>
      </c>
      <c r="GH17" s="41">
        <v>10.73</v>
      </c>
      <c r="GI17" s="41">
        <v>1</v>
      </c>
      <c r="GJ17" s="41">
        <v>1</v>
      </c>
      <c r="GK17" s="41">
        <v>1</v>
      </c>
      <c r="GL17" s="41">
        <v>1</v>
      </c>
      <c r="GM17" s="41">
        <v>1</v>
      </c>
      <c r="GN17" s="41">
        <v>1</v>
      </c>
      <c r="GO17" s="41">
        <v>1</v>
      </c>
      <c r="GP17" s="41">
        <v>1</v>
      </c>
      <c r="GQ17" s="41">
        <v>1</v>
      </c>
      <c r="GR17" s="41">
        <v>1</v>
      </c>
      <c r="GS17" s="41">
        <v>1</v>
      </c>
      <c r="GT17" s="41">
        <v>1</v>
      </c>
      <c r="GU17" s="41">
        <v>1</v>
      </c>
      <c r="GV17" s="41">
        <v>1</v>
      </c>
      <c r="GW17" s="41">
        <v>1</v>
      </c>
      <c r="GX17" s="41">
        <v>1</v>
      </c>
      <c r="GY17" s="41">
        <v>1</v>
      </c>
      <c r="GZ17" s="41">
        <v>1</v>
      </c>
      <c r="HA17" s="41">
        <v>1</v>
      </c>
      <c r="HB17" s="41">
        <v>1</v>
      </c>
      <c r="HC17" s="41">
        <v>1</v>
      </c>
      <c r="HD17" s="41">
        <v>1</v>
      </c>
      <c r="HE17" s="41">
        <v>1</v>
      </c>
      <c r="HF17" s="41">
        <v>1</v>
      </c>
      <c r="HH17" s="373">
        <v>1</v>
      </c>
      <c r="HI17" s="218">
        <v>1</v>
      </c>
      <c r="HJ17" s="229">
        <v>1</v>
      </c>
      <c r="HK17" s="229">
        <v>1</v>
      </c>
      <c r="HM17" s="373">
        <f t="shared" si="173"/>
        <v>1</v>
      </c>
      <c r="HN17" s="145">
        <v>1</v>
      </c>
    </row>
    <row r="18" spans="1:247" ht="12.75" hidden="1" customHeight="1" x14ac:dyDescent="0.2">
      <c r="A18" s="373">
        <f t="shared" si="172"/>
        <v>14</v>
      </c>
      <c r="B18" s="149" t="s">
        <v>133</v>
      </c>
      <c r="C18" s="150">
        <v>0.90600000000000003</v>
      </c>
      <c r="D18" s="150">
        <v>0.92600000000000005</v>
      </c>
      <c r="E18" s="150">
        <v>0.81299999999999994</v>
      </c>
      <c r="F18" s="150">
        <v>0.99399999999999999</v>
      </c>
      <c r="G18" s="150"/>
      <c r="H18" s="226">
        <f ca="1">OFFSET($HH18,0,'Расчет стоимости'!$M$10,1,1)</f>
        <v>1</v>
      </c>
      <c r="I18" s="150">
        <v>1</v>
      </c>
      <c r="J18" s="150">
        <v>1</v>
      </c>
      <c r="K18" s="149">
        <v>1</v>
      </c>
      <c r="L18" s="149">
        <v>1</v>
      </c>
      <c r="M18" s="372">
        <v>2.1000000000000001E-2</v>
      </c>
      <c r="N18" s="145">
        <v>1.9E-2</v>
      </c>
      <c r="O18" s="145">
        <v>0.01</v>
      </c>
      <c r="P18" s="145">
        <v>3.2000000000000001E-2</v>
      </c>
      <c r="Q18" s="145">
        <v>0</v>
      </c>
      <c r="R18" s="152" t="s">
        <v>234</v>
      </c>
      <c r="S18" s="152"/>
      <c r="T18" s="225">
        <f t="shared" si="165"/>
        <v>1</v>
      </c>
      <c r="U18" s="225">
        <f t="shared" si="165"/>
        <v>1</v>
      </c>
      <c r="V18" s="225">
        <f t="shared" si="165"/>
        <v>1</v>
      </c>
      <c r="W18" s="225">
        <f t="shared" si="165"/>
        <v>1</v>
      </c>
      <c r="X18" s="145">
        <f t="shared" si="166"/>
        <v>1</v>
      </c>
      <c r="Y18" s="145">
        <v>5.36</v>
      </c>
      <c r="Z18" s="145">
        <v>5.46</v>
      </c>
      <c r="AA18" s="145">
        <v>5.46</v>
      </c>
      <c r="AB18" s="145">
        <v>5.48</v>
      </c>
      <c r="AC18" s="145">
        <v>5.6</v>
      </c>
      <c r="AD18" s="41">
        <v>5.58</v>
      </c>
      <c r="AE18" s="41">
        <v>1</v>
      </c>
      <c r="AF18" s="41">
        <v>1</v>
      </c>
      <c r="AG18" s="41">
        <v>1</v>
      </c>
      <c r="AH18" s="41">
        <v>1</v>
      </c>
      <c r="AI18" s="41">
        <v>1</v>
      </c>
      <c r="AJ18" s="41">
        <v>1</v>
      </c>
      <c r="AK18" s="41">
        <v>1</v>
      </c>
      <c r="AL18" s="41">
        <v>1</v>
      </c>
      <c r="AM18" s="41">
        <v>1</v>
      </c>
      <c r="AN18" s="41">
        <v>1</v>
      </c>
      <c r="AO18" s="41">
        <v>1</v>
      </c>
      <c r="AP18" s="41">
        <v>1</v>
      </c>
      <c r="AQ18" s="41">
        <v>1</v>
      </c>
      <c r="AR18" s="41">
        <v>1</v>
      </c>
      <c r="AS18" s="41">
        <v>1</v>
      </c>
      <c r="AT18" s="41">
        <v>1</v>
      </c>
      <c r="AU18" s="41">
        <v>1</v>
      </c>
      <c r="AV18" s="41">
        <v>1</v>
      </c>
      <c r="AW18" s="41">
        <v>1</v>
      </c>
      <c r="AX18" s="41">
        <v>1</v>
      </c>
      <c r="AY18" s="41">
        <v>1</v>
      </c>
      <c r="AZ18" s="41">
        <v>1</v>
      </c>
      <c r="BA18" s="41">
        <v>1</v>
      </c>
      <c r="BB18" s="41">
        <v>1</v>
      </c>
      <c r="BD18" s="145">
        <f t="shared" si="167"/>
        <v>1</v>
      </c>
      <c r="BE18" s="145">
        <v>3.56</v>
      </c>
      <c r="BF18" s="145">
        <v>3.63</v>
      </c>
      <c r="BG18" s="145">
        <v>3.63</v>
      </c>
      <c r="BH18" s="145">
        <v>3.64</v>
      </c>
      <c r="BI18" s="145">
        <v>3.72</v>
      </c>
      <c r="BJ18" s="41">
        <v>3.71</v>
      </c>
      <c r="BK18" s="41">
        <v>1</v>
      </c>
      <c r="BL18" s="41">
        <v>1</v>
      </c>
      <c r="BM18" s="41">
        <v>1</v>
      </c>
      <c r="BN18" s="41">
        <v>1</v>
      </c>
      <c r="BO18" s="41">
        <v>1</v>
      </c>
      <c r="BP18" s="41">
        <v>1</v>
      </c>
      <c r="BQ18" s="41">
        <v>1</v>
      </c>
      <c r="BR18" s="41">
        <v>1</v>
      </c>
      <c r="BS18" s="41">
        <v>1</v>
      </c>
      <c r="BT18" s="41">
        <v>1</v>
      </c>
      <c r="BU18" s="41">
        <v>1</v>
      </c>
      <c r="BV18" s="41">
        <v>1</v>
      </c>
      <c r="BW18" s="41">
        <v>1</v>
      </c>
      <c r="BX18" s="41">
        <v>1</v>
      </c>
      <c r="BY18" s="41">
        <v>1</v>
      </c>
      <c r="BZ18" s="41">
        <v>1</v>
      </c>
      <c r="CA18" s="41">
        <v>1</v>
      </c>
      <c r="CB18" s="41">
        <v>1</v>
      </c>
      <c r="CC18" s="41">
        <v>1</v>
      </c>
      <c r="CD18" s="41">
        <v>1</v>
      </c>
      <c r="CE18" s="41">
        <v>1</v>
      </c>
      <c r="CF18" s="41">
        <v>1</v>
      </c>
      <c r="CG18" s="41">
        <v>1</v>
      </c>
      <c r="CH18" s="41">
        <v>1</v>
      </c>
      <c r="CJ18" s="145">
        <f t="shared" si="168"/>
        <v>1</v>
      </c>
      <c r="CK18" s="145">
        <v>3.77</v>
      </c>
      <c r="CL18" s="145">
        <v>3.79</v>
      </c>
      <c r="CM18" s="145">
        <v>3.79</v>
      </c>
      <c r="CN18" s="145">
        <v>3.81</v>
      </c>
      <c r="CO18" s="145">
        <v>3.89</v>
      </c>
      <c r="CP18" s="41">
        <v>3.87</v>
      </c>
      <c r="CQ18" s="41">
        <v>1</v>
      </c>
      <c r="CR18" s="41">
        <v>1</v>
      </c>
      <c r="CS18" s="41">
        <v>1</v>
      </c>
      <c r="CT18" s="41">
        <v>1</v>
      </c>
      <c r="CU18" s="41">
        <v>1</v>
      </c>
      <c r="CV18" s="41">
        <v>1</v>
      </c>
      <c r="CW18" s="41">
        <v>1</v>
      </c>
      <c r="CX18" s="41">
        <v>1</v>
      </c>
      <c r="CY18" s="41">
        <v>1</v>
      </c>
      <c r="CZ18" s="41">
        <v>1</v>
      </c>
      <c r="DA18" s="41">
        <v>1</v>
      </c>
      <c r="DB18" s="41">
        <v>1</v>
      </c>
      <c r="DC18" s="41">
        <v>1</v>
      </c>
      <c r="DD18" s="41">
        <v>1</v>
      </c>
      <c r="DE18" s="41">
        <v>1</v>
      </c>
      <c r="DF18" s="41">
        <v>1</v>
      </c>
      <c r="DG18" s="41">
        <v>1</v>
      </c>
      <c r="DH18" s="41">
        <v>1</v>
      </c>
      <c r="DI18" s="41">
        <v>1</v>
      </c>
      <c r="DJ18" s="41">
        <v>1</v>
      </c>
      <c r="DK18" s="41">
        <v>1</v>
      </c>
      <c r="DL18" s="41">
        <v>1</v>
      </c>
      <c r="DM18" s="41">
        <v>1</v>
      </c>
      <c r="DN18" s="41">
        <v>1</v>
      </c>
      <c r="DP18" s="145">
        <f t="shared" si="169"/>
        <v>1</v>
      </c>
      <c r="DQ18" s="145">
        <v>4.05</v>
      </c>
      <c r="DR18" s="145">
        <v>4.13</v>
      </c>
      <c r="DS18" s="145">
        <v>4.13</v>
      </c>
      <c r="DT18" s="145">
        <v>4.1500000000000004</v>
      </c>
      <c r="DU18" s="145">
        <v>4.24</v>
      </c>
      <c r="DV18" s="41">
        <v>4.22</v>
      </c>
      <c r="DW18" s="41">
        <v>1</v>
      </c>
      <c r="DX18" s="41">
        <v>1</v>
      </c>
      <c r="DY18" s="41">
        <v>1</v>
      </c>
      <c r="DZ18" s="41">
        <v>1</v>
      </c>
      <c r="EA18" s="41">
        <v>1</v>
      </c>
      <c r="EB18" s="41">
        <v>1</v>
      </c>
      <c r="EC18" s="41">
        <v>1</v>
      </c>
      <c r="ED18" s="41">
        <v>1</v>
      </c>
      <c r="EE18" s="41">
        <v>1</v>
      </c>
      <c r="EF18" s="41">
        <v>1</v>
      </c>
      <c r="EG18" s="41">
        <v>1</v>
      </c>
      <c r="EH18" s="41">
        <v>1</v>
      </c>
      <c r="EI18" s="41">
        <v>1</v>
      </c>
      <c r="EJ18" s="41">
        <v>1</v>
      </c>
      <c r="EK18" s="41">
        <v>1</v>
      </c>
      <c r="EL18" s="41">
        <v>1</v>
      </c>
      <c r="EM18" s="41">
        <v>1</v>
      </c>
      <c r="EN18" s="41">
        <v>1</v>
      </c>
      <c r="EO18" s="41">
        <v>1</v>
      </c>
      <c r="EP18" s="41">
        <v>1</v>
      </c>
      <c r="EQ18" s="41">
        <v>1</v>
      </c>
      <c r="ER18" s="41">
        <v>1</v>
      </c>
      <c r="ES18" s="41">
        <v>1</v>
      </c>
      <c r="ET18" s="41">
        <v>1</v>
      </c>
      <c r="EV18" s="145">
        <f t="shared" si="170"/>
        <v>1</v>
      </c>
      <c r="EW18" s="145">
        <v>4.0599999999999996</v>
      </c>
      <c r="EX18" s="145">
        <v>4.07</v>
      </c>
      <c r="EY18" s="145">
        <v>4.07</v>
      </c>
      <c r="EZ18" s="145">
        <v>4.09</v>
      </c>
      <c r="FA18" s="145">
        <v>4.18</v>
      </c>
      <c r="FB18" s="41">
        <v>4.16</v>
      </c>
      <c r="FC18" s="41">
        <v>1</v>
      </c>
      <c r="FD18" s="41">
        <v>1</v>
      </c>
      <c r="FE18" s="41">
        <v>1</v>
      </c>
      <c r="FF18" s="41">
        <v>1</v>
      </c>
      <c r="FG18" s="41">
        <v>1</v>
      </c>
      <c r="FH18" s="41">
        <v>1</v>
      </c>
      <c r="FI18" s="41">
        <v>1</v>
      </c>
      <c r="FJ18" s="41">
        <v>1</v>
      </c>
      <c r="FK18" s="41">
        <v>1</v>
      </c>
      <c r="FL18" s="41">
        <v>1</v>
      </c>
      <c r="FM18" s="41">
        <v>1</v>
      </c>
      <c r="FN18" s="41">
        <v>1</v>
      </c>
      <c r="FO18" s="41">
        <v>1</v>
      </c>
      <c r="FP18" s="41">
        <v>1</v>
      </c>
      <c r="FQ18" s="41">
        <v>1</v>
      </c>
      <c r="FR18" s="41">
        <v>1</v>
      </c>
      <c r="FS18" s="41">
        <v>1</v>
      </c>
      <c r="FT18" s="41">
        <v>1</v>
      </c>
      <c r="FU18" s="41">
        <v>1</v>
      </c>
      <c r="FV18" s="41">
        <v>1</v>
      </c>
      <c r="FW18" s="41">
        <v>1</v>
      </c>
      <c r="FX18" s="41">
        <v>1</v>
      </c>
      <c r="FY18" s="41">
        <v>1</v>
      </c>
      <c r="FZ18" s="41">
        <v>1</v>
      </c>
      <c r="GB18" s="145">
        <f t="shared" si="171"/>
        <v>1</v>
      </c>
      <c r="GC18" s="145">
        <v>10.220000000000001</v>
      </c>
      <c r="GD18" s="145">
        <v>10.42</v>
      </c>
      <c r="GE18" s="145">
        <v>10.42</v>
      </c>
      <c r="GF18" s="145">
        <v>10.46</v>
      </c>
      <c r="GG18" s="145">
        <v>10.68</v>
      </c>
      <c r="GH18" s="41">
        <v>10.64</v>
      </c>
      <c r="GI18" s="41">
        <v>1</v>
      </c>
      <c r="GJ18" s="41">
        <v>1</v>
      </c>
      <c r="GK18" s="41">
        <v>1</v>
      </c>
      <c r="GL18" s="41">
        <v>1</v>
      </c>
      <c r="GM18" s="41">
        <v>1</v>
      </c>
      <c r="GN18" s="41">
        <v>1</v>
      </c>
      <c r="GO18" s="41">
        <v>1</v>
      </c>
      <c r="GP18" s="41">
        <v>1</v>
      </c>
      <c r="GQ18" s="41">
        <v>1</v>
      </c>
      <c r="GR18" s="41">
        <v>1</v>
      </c>
      <c r="GS18" s="41">
        <v>1</v>
      </c>
      <c r="GT18" s="41">
        <v>1</v>
      </c>
      <c r="GU18" s="41">
        <v>1</v>
      </c>
      <c r="GV18" s="41">
        <v>1</v>
      </c>
      <c r="GW18" s="41">
        <v>1</v>
      </c>
      <c r="GX18" s="41">
        <v>1</v>
      </c>
      <c r="GY18" s="41">
        <v>1</v>
      </c>
      <c r="GZ18" s="41">
        <v>1</v>
      </c>
      <c r="HA18" s="41">
        <v>1</v>
      </c>
      <c r="HB18" s="41">
        <v>1</v>
      </c>
      <c r="HC18" s="41">
        <v>1</v>
      </c>
      <c r="HD18" s="41">
        <v>1</v>
      </c>
      <c r="HE18" s="41">
        <v>1</v>
      </c>
      <c r="HF18" s="41">
        <v>1</v>
      </c>
      <c r="HH18" s="373">
        <v>1</v>
      </c>
      <c r="HI18" s="218">
        <v>1</v>
      </c>
      <c r="HJ18" s="229">
        <v>1</v>
      </c>
      <c r="HK18" s="229">
        <v>1</v>
      </c>
      <c r="HM18" s="373">
        <f t="shared" si="173"/>
        <v>1</v>
      </c>
      <c r="HN18" s="145">
        <v>1</v>
      </c>
    </row>
    <row r="19" spans="1:247" ht="12.75" hidden="1" customHeight="1" x14ac:dyDescent="0.2">
      <c r="A19" s="373">
        <f t="shared" si="172"/>
        <v>15</v>
      </c>
      <c r="B19" s="149" t="s">
        <v>143</v>
      </c>
      <c r="C19" s="150">
        <v>0.97</v>
      </c>
      <c r="D19" s="150">
        <v>1.018</v>
      </c>
      <c r="E19" s="150">
        <v>0.81799999999999995</v>
      </c>
      <c r="F19" s="150">
        <v>0.96</v>
      </c>
      <c r="G19" s="150"/>
      <c r="H19" s="226">
        <f ca="1">OFFSET($HH19,0,'Расчет стоимости'!$M$10,1,1)</f>
        <v>1</v>
      </c>
      <c r="I19" s="150">
        <v>1</v>
      </c>
      <c r="J19" s="150">
        <v>1</v>
      </c>
      <c r="K19" s="149">
        <v>1</v>
      </c>
      <c r="L19" s="149">
        <v>1</v>
      </c>
      <c r="M19" s="372">
        <v>2.1000000000000001E-2</v>
      </c>
      <c r="N19" s="145">
        <v>1.9E-2</v>
      </c>
      <c r="O19" s="145">
        <v>0.01</v>
      </c>
      <c r="P19" s="145">
        <v>3.2000000000000001E-2</v>
      </c>
      <c r="Q19" s="145">
        <v>0</v>
      </c>
      <c r="R19" s="152" t="s">
        <v>234</v>
      </c>
      <c r="S19" s="152"/>
      <c r="T19" s="225">
        <f t="shared" si="165"/>
        <v>1.012</v>
      </c>
      <c r="U19" s="225">
        <f t="shared" si="165"/>
        <v>1.012</v>
      </c>
      <c r="V19" s="225">
        <f t="shared" si="165"/>
        <v>1.012</v>
      </c>
      <c r="W19" s="225">
        <f t="shared" si="165"/>
        <v>1.012</v>
      </c>
      <c r="X19" s="145">
        <f t="shared" si="166"/>
        <v>1</v>
      </c>
      <c r="Y19" s="145">
        <v>5.86</v>
      </c>
      <c r="Z19" s="145">
        <v>5.98</v>
      </c>
      <c r="AA19" s="145">
        <v>5.98</v>
      </c>
      <c r="AB19" s="145">
        <v>6</v>
      </c>
      <c r="AC19" s="145">
        <v>6.13</v>
      </c>
      <c r="AD19" s="41">
        <v>6.11</v>
      </c>
      <c r="AE19" s="41">
        <v>1</v>
      </c>
      <c r="AF19" s="41">
        <v>1</v>
      </c>
      <c r="AG19" s="41">
        <v>1</v>
      </c>
      <c r="AH19" s="41">
        <v>1</v>
      </c>
      <c r="AI19" s="41">
        <v>1</v>
      </c>
      <c r="AJ19" s="41">
        <v>1</v>
      </c>
      <c r="AK19" s="41">
        <v>1</v>
      </c>
      <c r="AL19" s="41">
        <v>1</v>
      </c>
      <c r="AM19" s="41">
        <v>1</v>
      </c>
      <c r="AN19" s="41">
        <v>1</v>
      </c>
      <c r="AO19" s="41">
        <v>1</v>
      </c>
      <c r="AP19" s="41">
        <v>1</v>
      </c>
      <c r="AQ19" s="41">
        <v>1</v>
      </c>
      <c r="AR19" s="41">
        <v>1</v>
      </c>
      <c r="AS19" s="41">
        <v>1</v>
      </c>
      <c r="AT19" s="41">
        <v>1</v>
      </c>
      <c r="AU19" s="41">
        <v>1</v>
      </c>
      <c r="AV19" s="41">
        <v>1</v>
      </c>
      <c r="AW19" s="41">
        <v>1</v>
      </c>
      <c r="AX19" s="41">
        <v>1</v>
      </c>
      <c r="AY19" s="41">
        <v>1</v>
      </c>
      <c r="AZ19" s="41">
        <v>1</v>
      </c>
      <c r="BA19" s="41">
        <v>1</v>
      </c>
      <c r="BB19" s="41">
        <v>1</v>
      </c>
      <c r="BD19" s="145">
        <f t="shared" si="167"/>
        <v>1</v>
      </c>
      <c r="BE19" s="145">
        <v>4.1399999999999997</v>
      </c>
      <c r="BF19" s="145">
        <v>4.22</v>
      </c>
      <c r="BG19" s="145">
        <v>4.22</v>
      </c>
      <c r="BH19" s="145">
        <v>4.24</v>
      </c>
      <c r="BI19" s="145">
        <v>4.33</v>
      </c>
      <c r="BJ19" s="41">
        <v>4.3099999999999996</v>
      </c>
      <c r="BK19" s="41">
        <v>1</v>
      </c>
      <c r="BL19" s="41">
        <v>1</v>
      </c>
      <c r="BM19" s="41">
        <v>1</v>
      </c>
      <c r="BN19" s="41">
        <v>1</v>
      </c>
      <c r="BO19" s="41">
        <v>1</v>
      </c>
      <c r="BP19" s="41">
        <v>1</v>
      </c>
      <c r="BQ19" s="41">
        <v>1</v>
      </c>
      <c r="BR19" s="41">
        <v>1</v>
      </c>
      <c r="BS19" s="41">
        <v>1</v>
      </c>
      <c r="BT19" s="41">
        <v>1</v>
      </c>
      <c r="BU19" s="41">
        <v>1</v>
      </c>
      <c r="BV19" s="41">
        <v>1</v>
      </c>
      <c r="BW19" s="41">
        <v>1</v>
      </c>
      <c r="BX19" s="41">
        <v>1</v>
      </c>
      <c r="BY19" s="41">
        <v>1</v>
      </c>
      <c r="BZ19" s="41">
        <v>1</v>
      </c>
      <c r="CA19" s="41">
        <v>1</v>
      </c>
      <c r="CB19" s="41">
        <v>1</v>
      </c>
      <c r="CC19" s="41">
        <v>1</v>
      </c>
      <c r="CD19" s="41">
        <v>1</v>
      </c>
      <c r="CE19" s="41">
        <v>1</v>
      </c>
      <c r="CF19" s="41">
        <v>1</v>
      </c>
      <c r="CG19" s="41">
        <v>1</v>
      </c>
      <c r="CH19" s="41">
        <v>1</v>
      </c>
      <c r="CJ19" s="145">
        <f t="shared" si="168"/>
        <v>1</v>
      </c>
      <c r="CK19" s="145">
        <v>4.2699999999999996</v>
      </c>
      <c r="CL19" s="145">
        <v>4.32</v>
      </c>
      <c r="CM19" s="145">
        <v>4.32</v>
      </c>
      <c r="CN19" s="145">
        <v>4.34</v>
      </c>
      <c r="CO19" s="145">
        <v>4.43</v>
      </c>
      <c r="CP19" s="41">
        <v>4.41</v>
      </c>
      <c r="CQ19" s="41">
        <v>1</v>
      </c>
      <c r="CR19" s="41">
        <v>1</v>
      </c>
      <c r="CS19" s="41">
        <v>1</v>
      </c>
      <c r="CT19" s="41">
        <v>1</v>
      </c>
      <c r="CU19" s="41">
        <v>1</v>
      </c>
      <c r="CV19" s="41">
        <v>1</v>
      </c>
      <c r="CW19" s="41">
        <v>1</v>
      </c>
      <c r="CX19" s="41">
        <v>1</v>
      </c>
      <c r="CY19" s="41">
        <v>1</v>
      </c>
      <c r="CZ19" s="41">
        <v>1</v>
      </c>
      <c r="DA19" s="41">
        <v>1</v>
      </c>
      <c r="DB19" s="41">
        <v>1</v>
      </c>
      <c r="DC19" s="41">
        <v>1</v>
      </c>
      <c r="DD19" s="41">
        <v>1</v>
      </c>
      <c r="DE19" s="41">
        <v>1</v>
      </c>
      <c r="DF19" s="41">
        <v>1</v>
      </c>
      <c r="DG19" s="41">
        <v>1</v>
      </c>
      <c r="DH19" s="41">
        <v>1</v>
      </c>
      <c r="DI19" s="41">
        <v>1</v>
      </c>
      <c r="DJ19" s="41">
        <v>1</v>
      </c>
      <c r="DK19" s="41">
        <v>1</v>
      </c>
      <c r="DL19" s="41">
        <v>1</v>
      </c>
      <c r="DM19" s="41">
        <v>1</v>
      </c>
      <c r="DN19" s="41">
        <v>1</v>
      </c>
      <c r="DP19" s="145">
        <f t="shared" si="169"/>
        <v>1</v>
      </c>
      <c r="DQ19" s="145">
        <v>4.5199999999999996</v>
      </c>
      <c r="DR19" s="145">
        <v>4.6100000000000003</v>
      </c>
      <c r="DS19" s="145">
        <v>4.6100000000000003</v>
      </c>
      <c r="DT19" s="145">
        <v>4.63</v>
      </c>
      <c r="DU19" s="145">
        <v>4.7300000000000004</v>
      </c>
      <c r="DV19" s="41">
        <v>4.71</v>
      </c>
      <c r="DW19" s="41">
        <v>1</v>
      </c>
      <c r="DX19" s="41">
        <v>1</v>
      </c>
      <c r="DY19" s="41">
        <v>1</v>
      </c>
      <c r="DZ19" s="41">
        <v>1</v>
      </c>
      <c r="EA19" s="41">
        <v>1</v>
      </c>
      <c r="EB19" s="41">
        <v>1</v>
      </c>
      <c r="EC19" s="41">
        <v>1</v>
      </c>
      <c r="ED19" s="41">
        <v>1</v>
      </c>
      <c r="EE19" s="41">
        <v>1</v>
      </c>
      <c r="EF19" s="41">
        <v>1</v>
      </c>
      <c r="EG19" s="41">
        <v>1</v>
      </c>
      <c r="EH19" s="41">
        <v>1</v>
      </c>
      <c r="EI19" s="41">
        <v>1</v>
      </c>
      <c r="EJ19" s="41">
        <v>1</v>
      </c>
      <c r="EK19" s="41">
        <v>1</v>
      </c>
      <c r="EL19" s="41">
        <v>1</v>
      </c>
      <c r="EM19" s="41">
        <v>1</v>
      </c>
      <c r="EN19" s="41">
        <v>1</v>
      </c>
      <c r="EO19" s="41">
        <v>1</v>
      </c>
      <c r="EP19" s="41">
        <v>1</v>
      </c>
      <c r="EQ19" s="41">
        <v>1</v>
      </c>
      <c r="ER19" s="41">
        <v>1</v>
      </c>
      <c r="ES19" s="41">
        <v>1</v>
      </c>
      <c r="ET19" s="41">
        <v>1</v>
      </c>
      <c r="EV19" s="145">
        <f t="shared" si="170"/>
        <v>1</v>
      </c>
      <c r="EW19" s="145">
        <v>4.28</v>
      </c>
      <c r="EX19" s="145">
        <v>4.32</v>
      </c>
      <c r="EY19" s="145">
        <v>4.32</v>
      </c>
      <c r="EZ19" s="145">
        <v>4.34</v>
      </c>
      <c r="FA19" s="145">
        <v>4.43</v>
      </c>
      <c r="FB19" s="41">
        <v>4.41</v>
      </c>
      <c r="FC19" s="41">
        <v>1</v>
      </c>
      <c r="FD19" s="41">
        <v>1</v>
      </c>
      <c r="FE19" s="41">
        <v>1</v>
      </c>
      <c r="FF19" s="41">
        <v>1</v>
      </c>
      <c r="FG19" s="41">
        <v>1</v>
      </c>
      <c r="FH19" s="41">
        <v>1</v>
      </c>
      <c r="FI19" s="41">
        <v>1</v>
      </c>
      <c r="FJ19" s="41">
        <v>1</v>
      </c>
      <c r="FK19" s="41">
        <v>1</v>
      </c>
      <c r="FL19" s="41">
        <v>1</v>
      </c>
      <c r="FM19" s="41">
        <v>1</v>
      </c>
      <c r="FN19" s="41">
        <v>1</v>
      </c>
      <c r="FO19" s="41">
        <v>1</v>
      </c>
      <c r="FP19" s="41">
        <v>1</v>
      </c>
      <c r="FQ19" s="41">
        <v>1</v>
      </c>
      <c r="FR19" s="41">
        <v>1</v>
      </c>
      <c r="FS19" s="41">
        <v>1</v>
      </c>
      <c r="FT19" s="41">
        <v>1</v>
      </c>
      <c r="FU19" s="41">
        <v>1</v>
      </c>
      <c r="FV19" s="41">
        <v>1</v>
      </c>
      <c r="FW19" s="41">
        <v>1</v>
      </c>
      <c r="FX19" s="41">
        <v>1</v>
      </c>
      <c r="FY19" s="41">
        <v>1</v>
      </c>
      <c r="FZ19" s="41">
        <v>1</v>
      </c>
      <c r="GB19" s="145">
        <f t="shared" si="171"/>
        <v>1</v>
      </c>
      <c r="GC19" s="145">
        <v>9.9</v>
      </c>
      <c r="GD19" s="145">
        <v>10.1</v>
      </c>
      <c r="GE19" s="145">
        <v>10.1</v>
      </c>
      <c r="GF19" s="145">
        <v>10.14</v>
      </c>
      <c r="GG19" s="145">
        <v>10.35</v>
      </c>
      <c r="GH19" s="41">
        <v>10.31</v>
      </c>
      <c r="GI19" s="41">
        <v>1</v>
      </c>
      <c r="GJ19" s="41">
        <v>1</v>
      </c>
      <c r="GK19" s="41">
        <v>1</v>
      </c>
      <c r="GL19" s="41">
        <v>1</v>
      </c>
      <c r="GM19" s="41">
        <v>1</v>
      </c>
      <c r="GN19" s="41">
        <v>1</v>
      </c>
      <c r="GO19" s="41">
        <v>1</v>
      </c>
      <c r="GP19" s="41">
        <v>1</v>
      </c>
      <c r="GQ19" s="41">
        <v>1</v>
      </c>
      <c r="GR19" s="41">
        <v>1</v>
      </c>
      <c r="GS19" s="41">
        <v>1</v>
      </c>
      <c r="GT19" s="41">
        <v>1</v>
      </c>
      <c r="GU19" s="41">
        <v>1</v>
      </c>
      <c r="GV19" s="41">
        <v>1</v>
      </c>
      <c r="GW19" s="41">
        <v>1</v>
      </c>
      <c r="GX19" s="41">
        <v>1</v>
      </c>
      <c r="GY19" s="41">
        <v>1</v>
      </c>
      <c r="GZ19" s="41">
        <v>1</v>
      </c>
      <c r="HA19" s="41">
        <v>1</v>
      </c>
      <c r="HB19" s="41">
        <v>1</v>
      </c>
      <c r="HC19" s="41">
        <v>1</v>
      </c>
      <c r="HD19" s="41">
        <v>1</v>
      </c>
      <c r="HE19" s="41">
        <v>1</v>
      </c>
      <c r="HF19" s="41">
        <v>1</v>
      </c>
      <c r="HH19" s="373">
        <v>1</v>
      </c>
      <c r="HI19" s="218">
        <v>1</v>
      </c>
      <c r="HJ19" s="229">
        <v>1</v>
      </c>
      <c r="HK19" s="229">
        <v>1</v>
      </c>
      <c r="HM19" s="373">
        <f t="shared" si="173"/>
        <v>5</v>
      </c>
      <c r="HN19" s="145">
        <v>1</v>
      </c>
      <c r="HO19" s="219">
        <v>1.01</v>
      </c>
      <c r="HP19" s="219">
        <v>1.0109999999999999</v>
      </c>
      <c r="HQ19" s="219">
        <v>1.012</v>
      </c>
      <c r="HR19" s="145">
        <v>1.0129999999999999</v>
      </c>
    </row>
    <row r="20" spans="1:247" ht="12.75" hidden="1" customHeight="1" x14ac:dyDescent="0.2">
      <c r="A20" s="373">
        <f t="shared" si="172"/>
        <v>16</v>
      </c>
      <c r="B20" s="149" t="s">
        <v>134</v>
      </c>
      <c r="C20" s="150">
        <v>1.073</v>
      </c>
      <c r="D20" s="150">
        <v>1.1140000000000001</v>
      </c>
      <c r="E20" s="150">
        <v>0.96699999999999997</v>
      </c>
      <c r="F20" s="150">
        <v>0.96599999999999997</v>
      </c>
      <c r="G20" s="150"/>
      <c r="H20" s="226">
        <f ca="1">OFFSET($HH20,0,'Расчет стоимости'!$M$10,1,1)</f>
        <v>1</v>
      </c>
      <c r="I20" s="150">
        <v>1</v>
      </c>
      <c r="J20" s="150">
        <v>1</v>
      </c>
      <c r="K20" s="149">
        <v>1</v>
      </c>
      <c r="L20" s="149">
        <v>1</v>
      </c>
      <c r="M20" s="372">
        <v>2.1000000000000001E-2</v>
      </c>
      <c r="N20" s="145">
        <v>1.9E-2</v>
      </c>
      <c r="O20" s="145">
        <v>0.01</v>
      </c>
      <c r="P20" s="145">
        <v>3.2000000000000001E-2</v>
      </c>
      <c r="Q20" s="145">
        <v>0</v>
      </c>
      <c r="R20" s="152" t="s">
        <v>234</v>
      </c>
      <c r="S20" s="152"/>
      <c r="T20" s="225">
        <f t="shared" si="165"/>
        <v>1.024</v>
      </c>
      <c r="U20" s="225">
        <f t="shared" si="165"/>
        <v>1.024</v>
      </c>
      <c r="V20" s="225">
        <f t="shared" si="165"/>
        <v>1.024</v>
      </c>
      <c r="W20" s="225">
        <f t="shared" si="165"/>
        <v>1.024</v>
      </c>
      <c r="X20" s="145">
        <f t="shared" si="166"/>
        <v>1</v>
      </c>
      <c r="Y20" s="145">
        <v>5.92</v>
      </c>
      <c r="Z20" s="145">
        <v>5.8</v>
      </c>
      <c r="AA20" s="145">
        <v>5.8</v>
      </c>
      <c r="AB20" s="145">
        <v>5.82</v>
      </c>
      <c r="AC20" s="145">
        <v>5.94</v>
      </c>
      <c r="AD20" s="41">
        <v>5.92</v>
      </c>
      <c r="AE20" s="41">
        <v>1</v>
      </c>
      <c r="AF20" s="41">
        <v>1</v>
      </c>
      <c r="AG20" s="41">
        <v>1</v>
      </c>
      <c r="AH20" s="41">
        <v>1</v>
      </c>
      <c r="AI20" s="41">
        <v>1</v>
      </c>
      <c r="AJ20" s="41">
        <v>1</v>
      </c>
      <c r="AK20" s="41">
        <v>1</v>
      </c>
      <c r="AL20" s="41">
        <v>1</v>
      </c>
      <c r="AM20" s="41">
        <v>1</v>
      </c>
      <c r="AN20" s="41">
        <v>1</v>
      </c>
      <c r="AO20" s="41">
        <v>1</v>
      </c>
      <c r="AP20" s="41">
        <v>1</v>
      </c>
      <c r="AQ20" s="41">
        <v>1</v>
      </c>
      <c r="AR20" s="41">
        <v>1</v>
      </c>
      <c r="AS20" s="41">
        <v>1</v>
      </c>
      <c r="AT20" s="41">
        <v>1</v>
      </c>
      <c r="AU20" s="41">
        <v>1</v>
      </c>
      <c r="AV20" s="41">
        <v>1</v>
      </c>
      <c r="AW20" s="41">
        <v>1</v>
      </c>
      <c r="AX20" s="41">
        <v>1</v>
      </c>
      <c r="AY20" s="41">
        <v>1</v>
      </c>
      <c r="AZ20" s="41">
        <v>1</v>
      </c>
      <c r="BA20" s="41">
        <v>1</v>
      </c>
      <c r="BB20" s="41">
        <v>1</v>
      </c>
      <c r="BD20" s="145">
        <f t="shared" si="167"/>
        <v>1</v>
      </c>
      <c r="BE20" s="145">
        <v>3.85</v>
      </c>
      <c r="BF20" s="145">
        <v>3.26</v>
      </c>
      <c r="BG20" s="145">
        <v>3.26</v>
      </c>
      <c r="BH20" s="145">
        <v>3.27</v>
      </c>
      <c r="BI20" s="145">
        <v>3.34</v>
      </c>
      <c r="BJ20" s="41">
        <v>3.33</v>
      </c>
      <c r="BK20" s="41">
        <v>1</v>
      </c>
      <c r="BL20" s="41">
        <v>1</v>
      </c>
      <c r="BM20" s="41">
        <v>1</v>
      </c>
      <c r="BN20" s="41">
        <v>1</v>
      </c>
      <c r="BO20" s="41">
        <v>1</v>
      </c>
      <c r="BP20" s="41">
        <v>1</v>
      </c>
      <c r="BQ20" s="41">
        <v>1</v>
      </c>
      <c r="BR20" s="41">
        <v>1</v>
      </c>
      <c r="BS20" s="41">
        <v>1</v>
      </c>
      <c r="BT20" s="41">
        <v>1</v>
      </c>
      <c r="BU20" s="41">
        <v>1</v>
      </c>
      <c r="BV20" s="41">
        <v>1</v>
      </c>
      <c r="BW20" s="41">
        <v>1</v>
      </c>
      <c r="BX20" s="41">
        <v>1</v>
      </c>
      <c r="BY20" s="41">
        <v>1</v>
      </c>
      <c r="BZ20" s="41">
        <v>1</v>
      </c>
      <c r="CA20" s="41">
        <v>1</v>
      </c>
      <c r="CB20" s="41">
        <v>1</v>
      </c>
      <c r="CC20" s="41">
        <v>1</v>
      </c>
      <c r="CD20" s="41">
        <v>1</v>
      </c>
      <c r="CE20" s="41">
        <v>1</v>
      </c>
      <c r="CF20" s="41">
        <v>1</v>
      </c>
      <c r="CG20" s="41">
        <v>1</v>
      </c>
      <c r="CH20" s="41">
        <v>1</v>
      </c>
      <c r="CJ20" s="145">
        <f t="shared" si="168"/>
        <v>1</v>
      </c>
      <c r="CK20" s="145">
        <v>3.61</v>
      </c>
      <c r="CL20" s="145">
        <v>3.27</v>
      </c>
      <c r="CM20" s="145">
        <v>3.27</v>
      </c>
      <c r="CN20" s="145">
        <v>3.28</v>
      </c>
      <c r="CO20" s="145">
        <v>3.35</v>
      </c>
      <c r="CP20" s="41">
        <v>3.34</v>
      </c>
      <c r="CQ20" s="41">
        <v>1</v>
      </c>
      <c r="CR20" s="41">
        <v>1</v>
      </c>
      <c r="CS20" s="41">
        <v>1</v>
      </c>
      <c r="CT20" s="41">
        <v>1</v>
      </c>
      <c r="CU20" s="41">
        <v>1</v>
      </c>
      <c r="CV20" s="41">
        <v>1</v>
      </c>
      <c r="CW20" s="41">
        <v>1</v>
      </c>
      <c r="CX20" s="41">
        <v>1</v>
      </c>
      <c r="CY20" s="41">
        <v>1</v>
      </c>
      <c r="CZ20" s="41">
        <v>1</v>
      </c>
      <c r="DA20" s="41">
        <v>1</v>
      </c>
      <c r="DB20" s="41">
        <v>1</v>
      </c>
      <c r="DC20" s="41">
        <v>1</v>
      </c>
      <c r="DD20" s="41">
        <v>1</v>
      </c>
      <c r="DE20" s="41">
        <v>1</v>
      </c>
      <c r="DF20" s="41">
        <v>1</v>
      </c>
      <c r="DG20" s="41">
        <v>1</v>
      </c>
      <c r="DH20" s="41">
        <v>1</v>
      </c>
      <c r="DI20" s="41">
        <v>1</v>
      </c>
      <c r="DJ20" s="41">
        <v>1</v>
      </c>
      <c r="DK20" s="41">
        <v>1</v>
      </c>
      <c r="DL20" s="41">
        <v>1</v>
      </c>
      <c r="DM20" s="41">
        <v>1</v>
      </c>
      <c r="DN20" s="41">
        <v>1</v>
      </c>
      <c r="DP20" s="145">
        <f t="shared" si="169"/>
        <v>1</v>
      </c>
      <c r="DQ20" s="145">
        <v>4.72</v>
      </c>
      <c r="DR20" s="145">
        <v>4.24</v>
      </c>
      <c r="DS20" s="145">
        <v>4.24</v>
      </c>
      <c r="DT20" s="145">
        <v>4.26</v>
      </c>
      <c r="DU20" s="145">
        <v>4.3499999999999996</v>
      </c>
      <c r="DV20" s="41">
        <v>4.33</v>
      </c>
      <c r="DW20" s="41">
        <v>1</v>
      </c>
      <c r="DX20" s="41">
        <v>1</v>
      </c>
      <c r="DY20" s="41">
        <v>1</v>
      </c>
      <c r="DZ20" s="41">
        <v>1</v>
      </c>
      <c r="EA20" s="41">
        <v>1</v>
      </c>
      <c r="EB20" s="41">
        <v>1</v>
      </c>
      <c r="EC20" s="41">
        <v>1</v>
      </c>
      <c r="ED20" s="41">
        <v>1</v>
      </c>
      <c r="EE20" s="41">
        <v>1</v>
      </c>
      <c r="EF20" s="41">
        <v>1</v>
      </c>
      <c r="EG20" s="41">
        <v>1</v>
      </c>
      <c r="EH20" s="41">
        <v>1</v>
      </c>
      <c r="EI20" s="41">
        <v>1</v>
      </c>
      <c r="EJ20" s="41">
        <v>1</v>
      </c>
      <c r="EK20" s="41">
        <v>1</v>
      </c>
      <c r="EL20" s="41">
        <v>1</v>
      </c>
      <c r="EM20" s="41">
        <v>1</v>
      </c>
      <c r="EN20" s="41">
        <v>1</v>
      </c>
      <c r="EO20" s="41">
        <v>1</v>
      </c>
      <c r="EP20" s="41">
        <v>1</v>
      </c>
      <c r="EQ20" s="41">
        <v>1</v>
      </c>
      <c r="ER20" s="41">
        <v>1</v>
      </c>
      <c r="ES20" s="41">
        <v>1</v>
      </c>
      <c r="ET20" s="41">
        <v>1</v>
      </c>
      <c r="EV20" s="145">
        <f t="shared" si="170"/>
        <v>1</v>
      </c>
      <c r="EW20" s="145">
        <v>3.98</v>
      </c>
      <c r="EX20" s="145">
        <v>4.0199999999999996</v>
      </c>
      <c r="EY20" s="145">
        <v>4.0199999999999996</v>
      </c>
      <c r="EZ20" s="145">
        <v>4.04</v>
      </c>
      <c r="FA20" s="145">
        <v>4.12</v>
      </c>
      <c r="FB20" s="41">
        <v>4.0999999999999996</v>
      </c>
      <c r="FC20" s="41">
        <v>1</v>
      </c>
      <c r="FD20" s="41">
        <v>1</v>
      </c>
      <c r="FE20" s="41">
        <v>1</v>
      </c>
      <c r="FF20" s="41">
        <v>1</v>
      </c>
      <c r="FG20" s="41">
        <v>1</v>
      </c>
      <c r="FH20" s="41">
        <v>1</v>
      </c>
      <c r="FI20" s="41">
        <v>1</v>
      </c>
      <c r="FJ20" s="41">
        <v>1</v>
      </c>
      <c r="FK20" s="41">
        <v>1</v>
      </c>
      <c r="FL20" s="41">
        <v>1</v>
      </c>
      <c r="FM20" s="41">
        <v>1</v>
      </c>
      <c r="FN20" s="41">
        <v>1</v>
      </c>
      <c r="FO20" s="41">
        <v>1</v>
      </c>
      <c r="FP20" s="41">
        <v>1</v>
      </c>
      <c r="FQ20" s="41">
        <v>1</v>
      </c>
      <c r="FR20" s="41">
        <v>1</v>
      </c>
      <c r="FS20" s="41">
        <v>1</v>
      </c>
      <c r="FT20" s="41">
        <v>1</v>
      </c>
      <c r="FU20" s="41">
        <v>1</v>
      </c>
      <c r="FV20" s="41">
        <v>1</v>
      </c>
      <c r="FW20" s="41">
        <v>1</v>
      </c>
      <c r="FX20" s="41">
        <v>1</v>
      </c>
      <c r="FY20" s="41">
        <v>1</v>
      </c>
      <c r="FZ20" s="41">
        <v>1</v>
      </c>
      <c r="GB20" s="145">
        <f t="shared" si="171"/>
        <v>1</v>
      </c>
      <c r="GC20" s="145">
        <v>11.41</v>
      </c>
      <c r="GD20" s="145">
        <v>11.64</v>
      </c>
      <c r="GE20" s="145">
        <v>11.64</v>
      </c>
      <c r="GF20" s="145">
        <v>11.69</v>
      </c>
      <c r="GG20" s="145">
        <v>11.94</v>
      </c>
      <c r="GH20" s="41">
        <v>11.89</v>
      </c>
      <c r="GI20" s="41">
        <v>1</v>
      </c>
      <c r="GJ20" s="41">
        <v>1</v>
      </c>
      <c r="GK20" s="41">
        <v>1</v>
      </c>
      <c r="GL20" s="41">
        <v>1</v>
      </c>
      <c r="GM20" s="41">
        <v>1</v>
      </c>
      <c r="GN20" s="41">
        <v>1</v>
      </c>
      <c r="GO20" s="41">
        <v>1</v>
      </c>
      <c r="GP20" s="41">
        <v>1</v>
      </c>
      <c r="GQ20" s="41">
        <v>1</v>
      </c>
      <c r="GR20" s="41">
        <v>1</v>
      </c>
      <c r="GS20" s="41">
        <v>1</v>
      </c>
      <c r="GT20" s="41">
        <v>1</v>
      </c>
      <c r="GU20" s="41">
        <v>1</v>
      </c>
      <c r="GV20" s="41">
        <v>1</v>
      </c>
      <c r="GW20" s="41">
        <v>1</v>
      </c>
      <c r="GX20" s="41">
        <v>1</v>
      </c>
      <c r="GY20" s="41">
        <v>1</v>
      </c>
      <c r="GZ20" s="41">
        <v>1</v>
      </c>
      <c r="HA20" s="41">
        <v>1</v>
      </c>
      <c r="HB20" s="41">
        <v>1</v>
      </c>
      <c r="HC20" s="41">
        <v>1</v>
      </c>
      <c r="HD20" s="41">
        <v>1</v>
      </c>
      <c r="HE20" s="41">
        <v>1</v>
      </c>
      <c r="HF20" s="41">
        <v>1</v>
      </c>
      <c r="HH20" s="373">
        <v>1</v>
      </c>
      <c r="HI20" s="218">
        <v>1</v>
      </c>
      <c r="HJ20" s="229">
        <v>1</v>
      </c>
      <c r="HK20" s="229">
        <v>1</v>
      </c>
      <c r="HM20" s="373">
        <f t="shared" si="173"/>
        <v>5</v>
      </c>
      <c r="HN20" s="145">
        <v>1.0169999999999999</v>
      </c>
      <c r="HO20" s="145">
        <v>1.0049999999999999</v>
      </c>
      <c r="HP20" s="145">
        <v>1.012</v>
      </c>
      <c r="HQ20" s="145">
        <v>1.024</v>
      </c>
      <c r="HR20" s="145">
        <v>1.054</v>
      </c>
    </row>
    <row r="21" spans="1:247" ht="12.75" hidden="1" customHeight="1" x14ac:dyDescent="0.2">
      <c r="A21" s="373">
        <f t="shared" si="172"/>
        <v>17</v>
      </c>
      <c r="B21" s="149" t="s">
        <v>293</v>
      </c>
      <c r="C21" s="150">
        <v>0.997</v>
      </c>
      <c r="D21" s="150">
        <v>1.024</v>
      </c>
      <c r="E21" s="150">
        <v>0.93600000000000005</v>
      </c>
      <c r="F21" s="150">
        <v>0.89700000000000002</v>
      </c>
      <c r="G21" s="150"/>
      <c r="H21" s="226">
        <f ca="1">OFFSET($HH21,0,'Расчет стоимости'!$M$10,1,1)</f>
        <v>1</v>
      </c>
      <c r="I21" s="150">
        <v>1</v>
      </c>
      <c r="J21" s="150">
        <v>1</v>
      </c>
      <c r="K21" s="149">
        <v>1</v>
      </c>
      <c r="L21" s="149">
        <v>1</v>
      </c>
      <c r="M21" s="372">
        <v>2.1000000000000001E-2</v>
      </c>
      <c r="N21" s="145">
        <v>1.9E-2</v>
      </c>
      <c r="O21" s="145">
        <v>0.01</v>
      </c>
      <c r="P21" s="145">
        <v>3.2000000000000001E-2</v>
      </c>
      <c r="Q21" s="145">
        <v>0</v>
      </c>
      <c r="R21" s="152" t="s">
        <v>234</v>
      </c>
      <c r="S21" s="152"/>
      <c r="T21" s="225">
        <f t="shared" si="165"/>
        <v>1</v>
      </c>
      <c r="U21" s="225">
        <f t="shared" si="165"/>
        <v>1</v>
      </c>
      <c r="V21" s="225">
        <f t="shared" si="165"/>
        <v>1</v>
      </c>
      <c r="W21" s="225">
        <f t="shared" si="165"/>
        <v>1</v>
      </c>
      <c r="X21" s="145">
        <f t="shared" si="166"/>
        <v>1</v>
      </c>
      <c r="Y21" s="145">
        <v>5.79</v>
      </c>
      <c r="Z21" s="145">
        <v>5.91</v>
      </c>
      <c r="AA21" s="145">
        <v>5.91</v>
      </c>
      <c r="AB21" s="145">
        <v>5.93</v>
      </c>
      <c r="AC21" s="145">
        <v>6.05</v>
      </c>
      <c r="AD21" s="41">
        <v>6.03</v>
      </c>
      <c r="AE21" s="41">
        <v>1</v>
      </c>
      <c r="AF21" s="41">
        <v>1</v>
      </c>
      <c r="AG21" s="41">
        <v>1</v>
      </c>
      <c r="AH21" s="41">
        <v>1</v>
      </c>
      <c r="AI21" s="41">
        <v>1</v>
      </c>
      <c r="AJ21" s="41">
        <v>1</v>
      </c>
      <c r="AK21" s="41">
        <v>1</v>
      </c>
      <c r="AL21" s="41">
        <v>1</v>
      </c>
      <c r="AM21" s="41">
        <v>1</v>
      </c>
      <c r="AN21" s="41">
        <v>1</v>
      </c>
      <c r="AO21" s="41">
        <v>1</v>
      </c>
      <c r="AP21" s="41">
        <v>1</v>
      </c>
      <c r="AQ21" s="41">
        <v>1</v>
      </c>
      <c r="AR21" s="41">
        <v>1</v>
      </c>
      <c r="AS21" s="41">
        <v>1</v>
      </c>
      <c r="AT21" s="41">
        <v>1</v>
      </c>
      <c r="AU21" s="41">
        <v>1</v>
      </c>
      <c r="AV21" s="41">
        <v>1</v>
      </c>
      <c r="AW21" s="41">
        <v>1</v>
      </c>
      <c r="AX21" s="41">
        <v>1</v>
      </c>
      <c r="AY21" s="41">
        <v>1</v>
      </c>
      <c r="AZ21" s="41">
        <v>1</v>
      </c>
      <c r="BA21" s="41">
        <v>1</v>
      </c>
      <c r="BB21" s="41">
        <v>1</v>
      </c>
      <c r="BD21" s="145">
        <f t="shared" si="167"/>
        <v>1</v>
      </c>
      <c r="BE21" s="145">
        <v>4.55</v>
      </c>
      <c r="BF21" s="145">
        <v>3.91</v>
      </c>
      <c r="BG21" s="145">
        <v>3.91</v>
      </c>
      <c r="BH21" s="145">
        <v>3.93</v>
      </c>
      <c r="BI21" s="145">
        <v>4.01</v>
      </c>
      <c r="BJ21" s="41">
        <v>3.96</v>
      </c>
      <c r="BK21" s="41">
        <v>1</v>
      </c>
      <c r="BL21" s="41">
        <v>1</v>
      </c>
      <c r="BM21" s="41">
        <v>1</v>
      </c>
      <c r="BN21" s="41">
        <v>1</v>
      </c>
      <c r="BO21" s="41">
        <v>1</v>
      </c>
      <c r="BP21" s="41">
        <v>1</v>
      </c>
      <c r="BQ21" s="41">
        <v>1</v>
      </c>
      <c r="BR21" s="41">
        <v>1</v>
      </c>
      <c r="BS21" s="41">
        <v>1</v>
      </c>
      <c r="BT21" s="41">
        <v>1</v>
      </c>
      <c r="BU21" s="41">
        <v>1</v>
      </c>
      <c r="BV21" s="41">
        <v>1</v>
      </c>
      <c r="BW21" s="41">
        <v>1</v>
      </c>
      <c r="BX21" s="41">
        <v>1</v>
      </c>
      <c r="BY21" s="41">
        <v>1</v>
      </c>
      <c r="BZ21" s="41">
        <v>1</v>
      </c>
      <c r="CA21" s="41">
        <v>1</v>
      </c>
      <c r="CB21" s="41">
        <v>1</v>
      </c>
      <c r="CC21" s="41">
        <v>1</v>
      </c>
      <c r="CD21" s="41">
        <v>1</v>
      </c>
      <c r="CE21" s="41">
        <v>1</v>
      </c>
      <c r="CF21" s="41">
        <v>1</v>
      </c>
      <c r="CG21" s="41">
        <v>1</v>
      </c>
      <c r="CH21" s="41">
        <v>1</v>
      </c>
      <c r="CJ21" s="145">
        <f t="shared" si="168"/>
        <v>1</v>
      </c>
      <c r="CK21" s="145">
        <v>3.94</v>
      </c>
      <c r="CL21" s="145">
        <v>3.94</v>
      </c>
      <c r="CM21" s="145">
        <v>3.94</v>
      </c>
      <c r="CN21" s="145">
        <v>3.96</v>
      </c>
      <c r="CO21" s="145">
        <v>4.04</v>
      </c>
      <c r="CP21" s="41">
        <v>4.0199999999999996</v>
      </c>
      <c r="CQ21" s="41">
        <v>1</v>
      </c>
      <c r="CR21" s="41">
        <v>1</v>
      </c>
      <c r="CS21" s="41">
        <v>1</v>
      </c>
      <c r="CT21" s="41">
        <v>1</v>
      </c>
      <c r="CU21" s="41">
        <v>1</v>
      </c>
      <c r="CV21" s="41">
        <v>1</v>
      </c>
      <c r="CW21" s="41">
        <v>1</v>
      </c>
      <c r="CX21" s="41">
        <v>1</v>
      </c>
      <c r="CY21" s="41">
        <v>1</v>
      </c>
      <c r="CZ21" s="41">
        <v>1</v>
      </c>
      <c r="DA21" s="41">
        <v>1</v>
      </c>
      <c r="DB21" s="41">
        <v>1</v>
      </c>
      <c r="DC21" s="41">
        <v>1</v>
      </c>
      <c r="DD21" s="41">
        <v>1</v>
      </c>
      <c r="DE21" s="41">
        <v>1</v>
      </c>
      <c r="DF21" s="41">
        <v>1</v>
      </c>
      <c r="DG21" s="41">
        <v>1</v>
      </c>
      <c r="DH21" s="41">
        <v>1</v>
      </c>
      <c r="DI21" s="41">
        <v>1</v>
      </c>
      <c r="DJ21" s="41">
        <v>1</v>
      </c>
      <c r="DK21" s="41">
        <v>1</v>
      </c>
      <c r="DL21" s="41">
        <v>1</v>
      </c>
      <c r="DM21" s="41">
        <v>1</v>
      </c>
      <c r="DN21" s="41">
        <v>1</v>
      </c>
      <c r="DP21" s="145">
        <f t="shared" si="169"/>
        <v>1</v>
      </c>
      <c r="DQ21" s="145">
        <v>4.62</v>
      </c>
      <c r="DR21" s="145">
        <v>4.38</v>
      </c>
      <c r="DS21" s="145">
        <v>4.38</v>
      </c>
      <c r="DT21" s="145">
        <v>4.4000000000000004</v>
      </c>
      <c r="DU21" s="145">
        <v>4.49</v>
      </c>
      <c r="DV21" s="41">
        <v>4.47</v>
      </c>
      <c r="DW21" s="41">
        <v>1</v>
      </c>
      <c r="DX21" s="41">
        <v>1</v>
      </c>
      <c r="DY21" s="41">
        <v>1</v>
      </c>
      <c r="DZ21" s="41">
        <v>1</v>
      </c>
      <c r="EA21" s="41">
        <v>1</v>
      </c>
      <c r="EB21" s="41">
        <v>1</v>
      </c>
      <c r="EC21" s="41">
        <v>1</v>
      </c>
      <c r="ED21" s="41">
        <v>1</v>
      </c>
      <c r="EE21" s="41">
        <v>1</v>
      </c>
      <c r="EF21" s="41">
        <v>1</v>
      </c>
      <c r="EG21" s="41">
        <v>1</v>
      </c>
      <c r="EH21" s="41">
        <v>1</v>
      </c>
      <c r="EI21" s="41">
        <v>1</v>
      </c>
      <c r="EJ21" s="41">
        <v>1</v>
      </c>
      <c r="EK21" s="41">
        <v>1</v>
      </c>
      <c r="EL21" s="41">
        <v>1</v>
      </c>
      <c r="EM21" s="41">
        <v>1</v>
      </c>
      <c r="EN21" s="41">
        <v>1</v>
      </c>
      <c r="EO21" s="41">
        <v>1</v>
      </c>
      <c r="EP21" s="41">
        <v>1</v>
      </c>
      <c r="EQ21" s="41">
        <v>1</v>
      </c>
      <c r="ER21" s="41">
        <v>1</v>
      </c>
      <c r="ES21" s="41">
        <v>1</v>
      </c>
      <c r="ET21" s="41">
        <v>1</v>
      </c>
      <c r="EV21" s="145">
        <f t="shared" si="170"/>
        <v>1</v>
      </c>
      <c r="EW21" s="145">
        <v>3.88</v>
      </c>
      <c r="EX21" s="145">
        <v>3.96</v>
      </c>
      <c r="EY21" s="145">
        <v>3.96</v>
      </c>
      <c r="EZ21" s="145">
        <v>3.98</v>
      </c>
      <c r="FA21" s="145">
        <v>4.0599999999999996</v>
      </c>
      <c r="FB21" s="41">
        <v>4.04</v>
      </c>
      <c r="FC21" s="41">
        <v>1</v>
      </c>
      <c r="FD21" s="41">
        <v>1</v>
      </c>
      <c r="FE21" s="41">
        <v>1</v>
      </c>
      <c r="FF21" s="41">
        <v>1</v>
      </c>
      <c r="FG21" s="41">
        <v>1</v>
      </c>
      <c r="FH21" s="41">
        <v>1</v>
      </c>
      <c r="FI21" s="41">
        <v>1</v>
      </c>
      <c r="FJ21" s="41">
        <v>1</v>
      </c>
      <c r="FK21" s="41">
        <v>1</v>
      </c>
      <c r="FL21" s="41">
        <v>1</v>
      </c>
      <c r="FM21" s="41">
        <v>1</v>
      </c>
      <c r="FN21" s="41">
        <v>1</v>
      </c>
      <c r="FO21" s="41">
        <v>1</v>
      </c>
      <c r="FP21" s="41">
        <v>1</v>
      </c>
      <c r="FQ21" s="41">
        <v>1</v>
      </c>
      <c r="FR21" s="41">
        <v>1</v>
      </c>
      <c r="FS21" s="41">
        <v>1</v>
      </c>
      <c r="FT21" s="41">
        <v>1</v>
      </c>
      <c r="FU21" s="41">
        <v>1</v>
      </c>
      <c r="FV21" s="41">
        <v>1</v>
      </c>
      <c r="FW21" s="41">
        <v>1</v>
      </c>
      <c r="FX21" s="41">
        <v>1</v>
      </c>
      <c r="FY21" s="41">
        <v>1</v>
      </c>
      <c r="FZ21" s="41">
        <v>1</v>
      </c>
      <c r="GB21" s="145">
        <f t="shared" si="171"/>
        <v>1</v>
      </c>
      <c r="GC21" s="145">
        <v>9.93</v>
      </c>
      <c r="GD21" s="145">
        <v>10.130000000000001</v>
      </c>
      <c r="GE21" s="145">
        <v>10.130000000000001</v>
      </c>
      <c r="GF21" s="145">
        <v>10.17</v>
      </c>
      <c r="GG21" s="145">
        <v>10.38</v>
      </c>
      <c r="GH21" s="41">
        <v>10.34</v>
      </c>
      <c r="GI21" s="41">
        <v>1</v>
      </c>
      <c r="GJ21" s="41">
        <v>1</v>
      </c>
      <c r="GK21" s="41">
        <v>1</v>
      </c>
      <c r="GL21" s="41">
        <v>1</v>
      </c>
      <c r="GM21" s="41">
        <v>1</v>
      </c>
      <c r="GN21" s="41">
        <v>1</v>
      </c>
      <c r="GO21" s="41">
        <v>1</v>
      </c>
      <c r="GP21" s="41">
        <v>1</v>
      </c>
      <c r="GQ21" s="41">
        <v>1</v>
      </c>
      <c r="GR21" s="41">
        <v>1</v>
      </c>
      <c r="GS21" s="41">
        <v>1</v>
      </c>
      <c r="GT21" s="41">
        <v>1</v>
      </c>
      <c r="GU21" s="41">
        <v>1</v>
      </c>
      <c r="GV21" s="41">
        <v>1</v>
      </c>
      <c r="GW21" s="41">
        <v>1</v>
      </c>
      <c r="GX21" s="41">
        <v>1</v>
      </c>
      <c r="GY21" s="41">
        <v>1</v>
      </c>
      <c r="GZ21" s="41">
        <v>1</v>
      </c>
      <c r="HA21" s="41">
        <v>1</v>
      </c>
      <c r="HB21" s="41">
        <v>1</v>
      </c>
      <c r="HC21" s="41">
        <v>1</v>
      </c>
      <c r="HD21" s="41">
        <v>1</v>
      </c>
      <c r="HE21" s="41">
        <v>1</v>
      </c>
      <c r="HF21" s="41">
        <v>1</v>
      </c>
      <c r="HH21" s="373">
        <v>1</v>
      </c>
      <c r="HI21" s="218">
        <v>1</v>
      </c>
      <c r="HJ21" s="229">
        <v>1</v>
      </c>
      <c r="HK21" s="229">
        <v>1</v>
      </c>
      <c r="HM21" s="373">
        <f t="shared" si="173"/>
        <v>1</v>
      </c>
      <c r="HN21" s="145">
        <v>1</v>
      </c>
    </row>
    <row r="22" spans="1:247" ht="12.75" hidden="1" customHeight="1" x14ac:dyDescent="0.2">
      <c r="A22" s="373">
        <f t="shared" si="172"/>
        <v>18</v>
      </c>
      <c r="B22" s="149" t="s">
        <v>135</v>
      </c>
      <c r="C22" s="150">
        <v>1.04</v>
      </c>
      <c r="D22" s="150">
        <v>1.05</v>
      </c>
      <c r="E22" s="150">
        <v>1</v>
      </c>
      <c r="F22" s="150">
        <v>1</v>
      </c>
      <c r="G22" s="150"/>
      <c r="H22" s="226">
        <f ca="1">OFFSET($HH22,0,'Расчет стоимости'!$M$10,1,1)</f>
        <v>1</v>
      </c>
      <c r="I22" s="150">
        <v>1</v>
      </c>
      <c r="J22" s="150">
        <v>1</v>
      </c>
      <c r="K22" s="149">
        <v>1</v>
      </c>
      <c r="L22" s="149">
        <v>1</v>
      </c>
      <c r="M22" s="372">
        <v>2.1000000000000001E-2</v>
      </c>
      <c r="N22" s="145">
        <v>1.9E-2</v>
      </c>
      <c r="O22" s="145">
        <v>0.01</v>
      </c>
      <c r="P22" s="145">
        <v>3.2000000000000001E-2</v>
      </c>
      <c r="Q22" s="145">
        <v>0</v>
      </c>
      <c r="R22" s="152" t="s">
        <v>234</v>
      </c>
      <c r="S22" s="152"/>
      <c r="T22" s="225">
        <f t="shared" si="165"/>
        <v>1</v>
      </c>
      <c r="U22" s="225">
        <f t="shared" si="165"/>
        <v>1</v>
      </c>
      <c r="V22" s="225">
        <f t="shared" si="165"/>
        <v>1</v>
      </c>
      <c r="W22" s="225">
        <f t="shared" si="165"/>
        <v>1</v>
      </c>
      <c r="X22" s="145">
        <f t="shared" si="166"/>
        <v>1</v>
      </c>
      <c r="Y22" s="145">
        <v>5.26</v>
      </c>
      <c r="Z22" s="145">
        <v>5.36</v>
      </c>
      <c r="AA22" s="145">
        <v>5.36</v>
      </c>
      <c r="AB22" s="145">
        <v>5.38</v>
      </c>
      <c r="AC22" s="145">
        <v>5.49</v>
      </c>
      <c r="AD22" s="41">
        <v>5.47</v>
      </c>
      <c r="AE22" s="41">
        <v>1</v>
      </c>
      <c r="AF22" s="41">
        <v>1</v>
      </c>
      <c r="AG22" s="41">
        <v>1</v>
      </c>
      <c r="AH22" s="41">
        <v>1</v>
      </c>
      <c r="AI22" s="41">
        <v>1</v>
      </c>
      <c r="AJ22" s="41">
        <v>1</v>
      </c>
      <c r="AK22" s="41">
        <v>1</v>
      </c>
      <c r="AL22" s="41">
        <v>1</v>
      </c>
      <c r="AM22" s="41">
        <v>1</v>
      </c>
      <c r="AN22" s="41">
        <v>1</v>
      </c>
      <c r="AO22" s="41">
        <v>1</v>
      </c>
      <c r="AP22" s="41">
        <v>1</v>
      </c>
      <c r="AQ22" s="41">
        <v>1</v>
      </c>
      <c r="AR22" s="41">
        <v>1</v>
      </c>
      <c r="AS22" s="41">
        <v>1</v>
      </c>
      <c r="AT22" s="41">
        <v>1</v>
      </c>
      <c r="AU22" s="41">
        <v>1</v>
      </c>
      <c r="AV22" s="41">
        <v>1</v>
      </c>
      <c r="AW22" s="41">
        <v>1</v>
      </c>
      <c r="AX22" s="41">
        <v>1</v>
      </c>
      <c r="AY22" s="41">
        <v>1</v>
      </c>
      <c r="AZ22" s="41">
        <v>1</v>
      </c>
      <c r="BA22" s="41">
        <v>1</v>
      </c>
      <c r="BB22" s="41">
        <v>1</v>
      </c>
      <c r="BD22" s="145">
        <f t="shared" si="167"/>
        <v>1</v>
      </c>
      <c r="BE22" s="145">
        <v>3.7</v>
      </c>
      <c r="BF22" s="145">
        <v>3.78</v>
      </c>
      <c r="BG22" s="145">
        <v>3.78</v>
      </c>
      <c r="BH22" s="145">
        <v>3.8</v>
      </c>
      <c r="BI22" s="145">
        <v>3.88</v>
      </c>
      <c r="BJ22" s="41">
        <v>3.86</v>
      </c>
      <c r="BK22" s="41">
        <v>1</v>
      </c>
      <c r="BL22" s="41">
        <v>1</v>
      </c>
      <c r="BM22" s="41">
        <v>1</v>
      </c>
      <c r="BN22" s="41">
        <v>1</v>
      </c>
      <c r="BO22" s="41">
        <v>1</v>
      </c>
      <c r="BP22" s="41">
        <v>1</v>
      </c>
      <c r="BQ22" s="41">
        <v>1</v>
      </c>
      <c r="BR22" s="41">
        <v>1</v>
      </c>
      <c r="BS22" s="41">
        <v>1</v>
      </c>
      <c r="BT22" s="41">
        <v>1</v>
      </c>
      <c r="BU22" s="41">
        <v>1</v>
      </c>
      <c r="BV22" s="41">
        <v>1</v>
      </c>
      <c r="BW22" s="41">
        <v>1</v>
      </c>
      <c r="BX22" s="41">
        <v>1</v>
      </c>
      <c r="BY22" s="41">
        <v>1</v>
      </c>
      <c r="BZ22" s="41">
        <v>1</v>
      </c>
      <c r="CA22" s="41">
        <v>1</v>
      </c>
      <c r="CB22" s="41">
        <v>1</v>
      </c>
      <c r="CC22" s="41">
        <v>1</v>
      </c>
      <c r="CD22" s="41">
        <v>1</v>
      </c>
      <c r="CE22" s="41">
        <v>1</v>
      </c>
      <c r="CF22" s="41">
        <v>1</v>
      </c>
      <c r="CG22" s="41">
        <v>1</v>
      </c>
      <c r="CH22" s="41">
        <v>1</v>
      </c>
      <c r="CJ22" s="145">
        <f t="shared" si="168"/>
        <v>1</v>
      </c>
      <c r="CK22" s="145">
        <v>3.94</v>
      </c>
      <c r="CL22" s="145">
        <v>4.0199999999999996</v>
      </c>
      <c r="CM22" s="145">
        <v>4.0199999999999996</v>
      </c>
      <c r="CN22" s="145">
        <v>4.04</v>
      </c>
      <c r="CO22" s="145">
        <v>4.12</v>
      </c>
      <c r="CP22" s="41">
        <v>4.0999999999999996</v>
      </c>
      <c r="CQ22" s="41">
        <v>1</v>
      </c>
      <c r="CR22" s="41">
        <v>1</v>
      </c>
      <c r="CS22" s="41">
        <v>1</v>
      </c>
      <c r="CT22" s="41">
        <v>1</v>
      </c>
      <c r="CU22" s="41">
        <v>1</v>
      </c>
      <c r="CV22" s="41">
        <v>1</v>
      </c>
      <c r="CW22" s="41">
        <v>1</v>
      </c>
      <c r="CX22" s="41">
        <v>1</v>
      </c>
      <c r="CY22" s="41">
        <v>1</v>
      </c>
      <c r="CZ22" s="41">
        <v>1</v>
      </c>
      <c r="DA22" s="41">
        <v>1</v>
      </c>
      <c r="DB22" s="41">
        <v>1</v>
      </c>
      <c r="DC22" s="41">
        <v>1</v>
      </c>
      <c r="DD22" s="41">
        <v>1</v>
      </c>
      <c r="DE22" s="41">
        <v>1</v>
      </c>
      <c r="DF22" s="41">
        <v>1</v>
      </c>
      <c r="DG22" s="41">
        <v>1</v>
      </c>
      <c r="DH22" s="41">
        <v>1</v>
      </c>
      <c r="DI22" s="41">
        <v>1</v>
      </c>
      <c r="DJ22" s="41">
        <v>1</v>
      </c>
      <c r="DK22" s="41">
        <v>1</v>
      </c>
      <c r="DL22" s="41">
        <v>1</v>
      </c>
      <c r="DM22" s="41">
        <v>1</v>
      </c>
      <c r="DN22" s="41">
        <v>1</v>
      </c>
      <c r="DP22" s="145">
        <f t="shared" si="169"/>
        <v>1</v>
      </c>
      <c r="DQ22" s="145">
        <v>4.17</v>
      </c>
      <c r="DR22" s="145">
        <v>4.25</v>
      </c>
      <c r="DS22" s="145">
        <v>4.25</v>
      </c>
      <c r="DT22" s="145">
        <v>4.2699999999999996</v>
      </c>
      <c r="DU22" s="145">
        <v>4.3600000000000003</v>
      </c>
      <c r="DV22" s="41">
        <v>4.34</v>
      </c>
      <c r="DW22" s="41">
        <v>1</v>
      </c>
      <c r="DX22" s="41">
        <v>1</v>
      </c>
      <c r="DY22" s="41">
        <v>1</v>
      </c>
      <c r="DZ22" s="41">
        <v>1</v>
      </c>
      <c r="EA22" s="41">
        <v>1</v>
      </c>
      <c r="EB22" s="41">
        <v>1</v>
      </c>
      <c r="EC22" s="41">
        <v>1</v>
      </c>
      <c r="ED22" s="41">
        <v>1</v>
      </c>
      <c r="EE22" s="41">
        <v>1</v>
      </c>
      <c r="EF22" s="41">
        <v>1</v>
      </c>
      <c r="EG22" s="41">
        <v>1</v>
      </c>
      <c r="EH22" s="41">
        <v>1</v>
      </c>
      <c r="EI22" s="41">
        <v>1</v>
      </c>
      <c r="EJ22" s="41">
        <v>1</v>
      </c>
      <c r="EK22" s="41">
        <v>1</v>
      </c>
      <c r="EL22" s="41">
        <v>1</v>
      </c>
      <c r="EM22" s="41">
        <v>1</v>
      </c>
      <c r="EN22" s="41">
        <v>1</v>
      </c>
      <c r="EO22" s="41">
        <v>1</v>
      </c>
      <c r="EP22" s="41">
        <v>1</v>
      </c>
      <c r="EQ22" s="41">
        <v>1</v>
      </c>
      <c r="ER22" s="41">
        <v>1</v>
      </c>
      <c r="ES22" s="41">
        <v>1</v>
      </c>
      <c r="ET22" s="41">
        <v>1</v>
      </c>
      <c r="EV22" s="145">
        <f t="shared" si="170"/>
        <v>1</v>
      </c>
      <c r="EW22" s="145">
        <v>4.22</v>
      </c>
      <c r="EX22" s="145">
        <v>4.3</v>
      </c>
      <c r="EY22" s="145">
        <v>4.3</v>
      </c>
      <c r="EZ22" s="145">
        <v>4.32</v>
      </c>
      <c r="FA22" s="145">
        <v>4.41</v>
      </c>
      <c r="FB22" s="41">
        <v>4.3899999999999997</v>
      </c>
      <c r="FC22" s="41">
        <v>1</v>
      </c>
      <c r="FD22" s="41">
        <v>1</v>
      </c>
      <c r="FE22" s="41">
        <v>1</v>
      </c>
      <c r="FF22" s="41">
        <v>1</v>
      </c>
      <c r="FG22" s="41">
        <v>1</v>
      </c>
      <c r="FH22" s="41">
        <v>1</v>
      </c>
      <c r="FI22" s="41">
        <v>1</v>
      </c>
      <c r="FJ22" s="41">
        <v>1</v>
      </c>
      <c r="FK22" s="41">
        <v>1</v>
      </c>
      <c r="FL22" s="41">
        <v>1</v>
      </c>
      <c r="FM22" s="41">
        <v>1</v>
      </c>
      <c r="FN22" s="41">
        <v>1</v>
      </c>
      <c r="FO22" s="41">
        <v>1</v>
      </c>
      <c r="FP22" s="41">
        <v>1</v>
      </c>
      <c r="FQ22" s="41">
        <v>1</v>
      </c>
      <c r="FR22" s="41">
        <v>1</v>
      </c>
      <c r="FS22" s="41">
        <v>1</v>
      </c>
      <c r="FT22" s="41">
        <v>1</v>
      </c>
      <c r="FU22" s="41">
        <v>1</v>
      </c>
      <c r="FV22" s="41">
        <v>1</v>
      </c>
      <c r="FW22" s="41">
        <v>1</v>
      </c>
      <c r="FX22" s="41">
        <v>1</v>
      </c>
      <c r="FY22" s="41">
        <v>1</v>
      </c>
      <c r="FZ22" s="41">
        <v>1</v>
      </c>
      <c r="GB22" s="145">
        <f t="shared" si="171"/>
        <v>1</v>
      </c>
      <c r="GC22" s="145">
        <v>10.61</v>
      </c>
      <c r="GD22" s="145">
        <v>10.83</v>
      </c>
      <c r="GE22" s="145">
        <v>10.83</v>
      </c>
      <c r="GF22" s="145">
        <v>10.87</v>
      </c>
      <c r="GG22" s="145">
        <v>11.1</v>
      </c>
      <c r="GH22" s="41">
        <v>11.06</v>
      </c>
      <c r="GI22" s="41">
        <v>1</v>
      </c>
      <c r="GJ22" s="41">
        <v>1</v>
      </c>
      <c r="GK22" s="41">
        <v>1</v>
      </c>
      <c r="GL22" s="41">
        <v>1</v>
      </c>
      <c r="GM22" s="41">
        <v>1</v>
      </c>
      <c r="GN22" s="41">
        <v>1</v>
      </c>
      <c r="GO22" s="41">
        <v>1</v>
      </c>
      <c r="GP22" s="41">
        <v>1</v>
      </c>
      <c r="GQ22" s="41">
        <v>1</v>
      </c>
      <c r="GR22" s="41">
        <v>1</v>
      </c>
      <c r="GS22" s="41">
        <v>1</v>
      </c>
      <c r="GT22" s="41">
        <v>1</v>
      </c>
      <c r="GU22" s="41">
        <v>1</v>
      </c>
      <c r="GV22" s="41">
        <v>1</v>
      </c>
      <c r="GW22" s="41">
        <v>1</v>
      </c>
      <c r="GX22" s="41">
        <v>1</v>
      </c>
      <c r="GY22" s="41">
        <v>1</v>
      </c>
      <c r="GZ22" s="41">
        <v>1</v>
      </c>
      <c r="HA22" s="41">
        <v>1</v>
      </c>
      <c r="HB22" s="41">
        <v>1</v>
      </c>
      <c r="HC22" s="41">
        <v>1</v>
      </c>
      <c r="HD22" s="41">
        <v>1</v>
      </c>
      <c r="HE22" s="41">
        <v>1</v>
      </c>
      <c r="HF22" s="41">
        <v>1</v>
      </c>
      <c r="HH22" s="373">
        <v>1</v>
      </c>
      <c r="HI22" s="218">
        <v>1</v>
      </c>
      <c r="HJ22" s="229">
        <v>1</v>
      </c>
      <c r="HK22" s="229">
        <v>1</v>
      </c>
      <c r="HM22" s="373">
        <f t="shared" si="173"/>
        <v>1</v>
      </c>
      <c r="HN22" s="145">
        <v>1</v>
      </c>
    </row>
    <row r="23" spans="1:247" ht="12.75" hidden="1" customHeight="1" x14ac:dyDescent="0.2">
      <c r="A23" s="373">
        <f t="shared" si="172"/>
        <v>19</v>
      </c>
      <c r="B23" s="149" t="s">
        <v>179</v>
      </c>
      <c r="C23" s="150">
        <v>0.94599999999999995</v>
      </c>
      <c r="D23" s="150"/>
      <c r="E23" s="150"/>
      <c r="F23" s="150"/>
      <c r="G23" s="150"/>
      <c r="H23" s="226">
        <f ca="1">OFFSET($HH23,0,'Расчет стоимости'!$M$10,1,1)</f>
        <v>1</v>
      </c>
      <c r="I23" s="150">
        <v>1</v>
      </c>
      <c r="J23" s="150">
        <v>1</v>
      </c>
      <c r="K23" s="149">
        <v>1</v>
      </c>
      <c r="L23" s="149">
        <v>1</v>
      </c>
      <c r="M23" s="372">
        <v>2.1000000000000001E-2</v>
      </c>
      <c r="N23" s="145">
        <v>1.9E-2</v>
      </c>
      <c r="O23" s="145">
        <v>0.01</v>
      </c>
      <c r="P23" s="145">
        <v>3.2000000000000001E-2</v>
      </c>
      <c r="Q23" s="145">
        <v>0</v>
      </c>
      <c r="R23" s="152" t="s">
        <v>234</v>
      </c>
      <c r="S23" s="152"/>
      <c r="T23" s="225">
        <f t="shared" si="165"/>
        <v>1</v>
      </c>
      <c r="U23" s="225">
        <f t="shared" si="165"/>
        <v>1</v>
      </c>
      <c r="V23" s="225">
        <f t="shared" si="165"/>
        <v>1</v>
      </c>
      <c r="W23" s="225">
        <f t="shared" si="165"/>
        <v>1</v>
      </c>
      <c r="X23" s="145">
        <f t="shared" si="166"/>
        <v>1</v>
      </c>
      <c r="Y23" s="145">
        <v>6.61</v>
      </c>
      <c r="Z23" s="145">
        <v>6.75</v>
      </c>
      <c r="AA23" s="145">
        <v>6.4</v>
      </c>
      <c r="AB23" s="145">
        <v>6.43</v>
      </c>
      <c r="AC23" s="145">
        <v>6.57</v>
      </c>
      <c r="AD23" s="41">
        <v>6.54</v>
      </c>
      <c r="AE23" s="41">
        <v>1</v>
      </c>
      <c r="AF23" s="41">
        <v>1</v>
      </c>
      <c r="AG23" s="41">
        <v>1</v>
      </c>
      <c r="AH23" s="41">
        <v>1</v>
      </c>
      <c r="AI23" s="41">
        <v>1</v>
      </c>
      <c r="AJ23" s="41">
        <v>1</v>
      </c>
      <c r="AK23" s="41">
        <v>1</v>
      </c>
      <c r="AL23" s="41">
        <v>1</v>
      </c>
      <c r="AM23" s="41">
        <v>1</v>
      </c>
      <c r="AN23" s="41">
        <v>1</v>
      </c>
      <c r="AO23" s="41">
        <v>1</v>
      </c>
      <c r="AP23" s="41">
        <v>1</v>
      </c>
      <c r="AQ23" s="41">
        <v>1</v>
      </c>
      <c r="AR23" s="41">
        <v>1</v>
      </c>
      <c r="AS23" s="41">
        <v>1</v>
      </c>
      <c r="AT23" s="41">
        <v>1</v>
      </c>
      <c r="AU23" s="41">
        <v>1</v>
      </c>
      <c r="AV23" s="41">
        <v>1</v>
      </c>
      <c r="AW23" s="41">
        <v>1</v>
      </c>
      <c r="AX23" s="41">
        <v>1</v>
      </c>
      <c r="AY23" s="41">
        <v>1</v>
      </c>
      <c r="AZ23" s="41">
        <v>1</v>
      </c>
      <c r="BA23" s="41">
        <v>1</v>
      </c>
      <c r="BB23" s="41">
        <v>1</v>
      </c>
      <c r="BD23" s="145">
        <f t="shared" si="167"/>
        <v>1</v>
      </c>
      <c r="BE23" s="145">
        <v>3.83</v>
      </c>
      <c r="BF23" s="145">
        <v>3.8</v>
      </c>
      <c r="BG23" s="145">
        <v>3.51</v>
      </c>
      <c r="BH23" s="145">
        <v>3.52</v>
      </c>
      <c r="BI23" s="145">
        <v>3.59</v>
      </c>
      <c r="BJ23" s="41">
        <v>3.58</v>
      </c>
      <c r="BK23" s="41">
        <v>1</v>
      </c>
      <c r="BL23" s="41">
        <v>1</v>
      </c>
      <c r="BM23" s="41">
        <v>1</v>
      </c>
      <c r="BN23" s="41">
        <v>1</v>
      </c>
      <c r="BO23" s="41">
        <v>1</v>
      </c>
      <c r="BP23" s="41">
        <v>1</v>
      </c>
      <c r="BQ23" s="41">
        <v>1</v>
      </c>
      <c r="BR23" s="41">
        <v>1</v>
      </c>
      <c r="BS23" s="41">
        <v>1</v>
      </c>
      <c r="BT23" s="41">
        <v>1</v>
      </c>
      <c r="BU23" s="41">
        <v>1</v>
      </c>
      <c r="BV23" s="41">
        <v>1</v>
      </c>
      <c r="BW23" s="41">
        <v>1</v>
      </c>
      <c r="BX23" s="41">
        <v>1</v>
      </c>
      <c r="BY23" s="41">
        <v>1</v>
      </c>
      <c r="BZ23" s="41">
        <v>1</v>
      </c>
      <c r="CA23" s="41">
        <v>1</v>
      </c>
      <c r="CB23" s="41">
        <v>1</v>
      </c>
      <c r="CC23" s="41">
        <v>1</v>
      </c>
      <c r="CD23" s="41">
        <v>1</v>
      </c>
      <c r="CE23" s="41">
        <v>1</v>
      </c>
      <c r="CF23" s="41">
        <v>1</v>
      </c>
      <c r="CG23" s="41">
        <v>1</v>
      </c>
      <c r="CH23" s="41">
        <v>1</v>
      </c>
      <c r="CJ23" s="145">
        <f t="shared" si="168"/>
        <v>1</v>
      </c>
      <c r="CK23" s="145">
        <v>3.82</v>
      </c>
      <c r="CL23" s="145">
        <v>3.79</v>
      </c>
      <c r="CM23" s="145">
        <v>3.79</v>
      </c>
      <c r="CN23" s="145">
        <v>3.81</v>
      </c>
      <c r="CO23" s="145">
        <v>3.89</v>
      </c>
      <c r="CP23" s="41">
        <v>3.87</v>
      </c>
      <c r="CQ23" s="41">
        <v>1</v>
      </c>
      <c r="CR23" s="41">
        <v>1</v>
      </c>
      <c r="CS23" s="41">
        <v>1</v>
      </c>
      <c r="CT23" s="41">
        <v>1</v>
      </c>
      <c r="CU23" s="41">
        <v>1</v>
      </c>
      <c r="CV23" s="41">
        <v>1</v>
      </c>
      <c r="CW23" s="41">
        <v>1</v>
      </c>
      <c r="CX23" s="41">
        <v>1</v>
      </c>
      <c r="CY23" s="41">
        <v>1</v>
      </c>
      <c r="CZ23" s="41">
        <v>1</v>
      </c>
      <c r="DA23" s="41">
        <v>1</v>
      </c>
      <c r="DB23" s="41">
        <v>1</v>
      </c>
      <c r="DC23" s="41">
        <v>1</v>
      </c>
      <c r="DD23" s="41">
        <v>1</v>
      </c>
      <c r="DE23" s="41">
        <v>1</v>
      </c>
      <c r="DF23" s="41">
        <v>1</v>
      </c>
      <c r="DG23" s="41">
        <v>1</v>
      </c>
      <c r="DH23" s="41">
        <v>1</v>
      </c>
      <c r="DI23" s="41">
        <v>1</v>
      </c>
      <c r="DJ23" s="41">
        <v>1</v>
      </c>
      <c r="DK23" s="41">
        <v>1</v>
      </c>
      <c r="DL23" s="41">
        <v>1</v>
      </c>
      <c r="DM23" s="41">
        <v>1</v>
      </c>
      <c r="DN23" s="41">
        <v>1</v>
      </c>
      <c r="DP23" s="145">
        <f t="shared" si="169"/>
        <v>1</v>
      </c>
      <c r="DQ23" s="145">
        <v>5.44</v>
      </c>
      <c r="DR23" s="145">
        <v>5.4</v>
      </c>
      <c r="DS23" s="145">
        <v>5.4</v>
      </c>
      <c r="DT23" s="145">
        <v>5.42</v>
      </c>
      <c r="DU23" s="145">
        <v>5.53</v>
      </c>
      <c r="DV23" s="41">
        <v>5.51</v>
      </c>
      <c r="DW23" s="41">
        <v>1</v>
      </c>
      <c r="DX23" s="41">
        <v>1</v>
      </c>
      <c r="DY23" s="41">
        <v>1</v>
      </c>
      <c r="DZ23" s="41">
        <v>1</v>
      </c>
      <c r="EA23" s="41">
        <v>1</v>
      </c>
      <c r="EB23" s="41">
        <v>1</v>
      </c>
      <c r="EC23" s="41">
        <v>1</v>
      </c>
      <c r="ED23" s="41">
        <v>1</v>
      </c>
      <c r="EE23" s="41">
        <v>1</v>
      </c>
      <c r="EF23" s="41">
        <v>1</v>
      </c>
      <c r="EG23" s="41">
        <v>1</v>
      </c>
      <c r="EH23" s="41">
        <v>1</v>
      </c>
      <c r="EI23" s="41">
        <v>1</v>
      </c>
      <c r="EJ23" s="41">
        <v>1</v>
      </c>
      <c r="EK23" s="41">
        <v>1</v>
      </c>
      <c r="EL23" s="41">
        <v>1</v>
      </c>
      <c r="EM23" s="41">
        <v>1</v>
      </c>
      <c r="EN23" s="41">
        <v>1</v>
      </c>
      <c r="EO23" s="41">
        <v>1</v>
      </c>
      <c r="EP23" s="41">
        <v>1</v>
      </c>
      <c r="EQ23" s="41">
        <v>1</v>
      </c>
      <c r="ER23" s="41">
        <v>1</v>
      </c>
      <c r="ES23" s="41">
        <v>1</v>
      </c>
      <c r="ET23" s="41">
        <v>1</v>
      </c>
      <c r="EV23" s="145">
        <f t="shared" si="170"/>
        <v>1</v>
      </c>
      <c r="EW23" s="145">
        <v>4.71</v>
      </c>
      <c r="EX23" s="145">
        <v>4.7</v>
      </c>
      <c r="EY23" s="145">
        <v>4.7</v>
      </c>
      <c r="EZ23" s="145">
        <v>4.72</v>
      </c>
      <c r="FA23" s="145">
        <v>4.82</v>
      </c>
      <c r="FB23" s="41">
        <v>4.8</v>
      </c>
      <c r="FC23" s="41">
        <v>1</v>
      </c>
      <c r="FD23" s="41">
        <v>1</v>
      </c>
      <c r="FE23" s="41">
        <v>1</v>
      </c>
      <c r="FF23" s="41">
        <v>1</v>
      </c>
      <c r="FG23" s="41">
        <v>1</v>
      </c>
      <c r="FH23" s="41">
        <v>1</v>
      </c>
      <c r="FI23" s="41">
        <v>1</v>
      </c>
      <c r="FJ23" s="41">
        <v>1</v>
      </c>
      <c r="FK23" s="41">
        <v>1</v>
      </c>
      <c r="FL23" s="41">
        <v>1</v>
      </c>
      <c r="FM23" s="41">
        <v>1</v>
      </c>
      <c r="FN23" s="41">
        <v>1</v>
      </c>
      <c r="FO23" s="41">
        <v>1</v>
      </c>
      <c r="FP23" s="41">
        <v>1</v>
      </c>
      <c r="FQ23" s="41">
        <v>1</v>
      </c>
      <c r="FR23" s="41">
        <v>1</v>
      </c>
      <c r="FS23" s="41">
        <v>1</v>
      </c>
      <c r="FT23" s="41">
        <v>1</v>
      </c>
      <c r="FU23" s="41">
        <v>1</v>
      </c>
      <c r="FV23" s="41">
        <v>1</v>
      </c>
      <c r="FW23" s="41">
        <v>1</v>
      </c>
      <c r="FX23" s="41">
        <v>1</v>
      </c>
      <c r="FY23" s="41">
        <v>1</v>
      </c>
      <c r="FZ23" s="41">
        <v>1</v>
      </c>
      <c r="GB23" s="145">
        <f t="shared" si="171"/>
        <v>1</v>
      </c>
      <c r="GC23" s="145">
        <v>16.71</v>
      </c>
      <c r="GD23" s="145">
        <v>16.88</v>
      </c>
      <c r="GE23" s="145">
        <v>16.52</v>
      </c>
      <c r="GF23" s="145">
        <v>16.59</v>
      </c>
      <c r="GG23" s="145">
        <v>16.940000000000001</v>
      </c>
      <c r="GH23" s="41">
        <v>16.87</v>
      </c>
      <c r="GI23" s="41">
        <v>1</v>
      </c>
      <c r="GJ23" s="41">
        <v>1</v>
      </c>
      <c r="GK23" s="41">
        <v>1</v>
      </c>
      <c r="GL23" s="41">
        <v>1</v>
      </c>
      <c r="GM23" s="41">
        <v>1</v>
      </c>
      <c r="GN23" s="41">
        <v>1</v>
      </c>
      <c r="GO23" s="41">
        <v>1</v>
      </c>
      <c r="GP23" s="41">
        <v>1</v>
      </c>
      <c r="GQ23" s="41">
        <v>1</v>
      </c>
      <c r="GR23" s="41">
        <v>1</v>
      </c>
      <c r="GS23" s="41">
        <v>1</v>
      </c>
      <c r="GT23" s="41">
        <v>1</v>
      </c>
      <c r="GU23" s="41">
        <v>1</v>
      </c>
      <c r="GV23" s="41">
        <v>1</v>
      </c>
      <c r="GW23" s="41">
        <v>1</v>
      </c>
      <c r="GX23" s="41">
        <v>1</v>
      </c>
      <c r="GY23" s="41">
        <v>1</v>
      </c>
      <c r="GZ23" s="41">
        <v>1</v>
      </c>
      <c r="HA23" s="41">
        <v>1</v>
      </c>
      <c r="HB23" s="41">
        <v>1</v>
      </c>
      <c r="HC23" s="41">
        <v>1</v>
      </c>
      <c r="HD23" s="41">
        <v>1</v>
      </c>
      <c r="HE23" s="41">
        <v>1</v>
      </c>
      <c r="HF23" s="41">
        <v>1</v>
      </c>
      <c r="HH23" s="373">
        <v>1</v>
      </c>
      <c r="HI23" s="218">
        <v>1</v>
      </c>
      <c r="HJ23" s="229">
        <v>1</v>
      </c>
      <c r="HK23" s="229">
        <v>1</v>
      </c>
      <c r="HM23" s="373">
        <f t="shared" si="173"/>
        <v>1</v>
      </c>
      <c r="HN23" s="145">
        <v>1</v>
      </c>
    </row>
    <row r="24" spans="1:247" s="336" customFormat="1" x14ac:dyDescent="0.2">
      <c r="A24" s="331">
        <f t="shared" si="172"/>
        <v>20</v>
      </c>
      <c r="B24" s="332" t="s">
        <v>1316</v>
      </c>
      <c r="C24" s="333">
        <v>1.2529999999999999</v>
      </c>
      <c r="D24" s="333">
        <v>1.2689999999999999</v>
      </c>
      <c r="E24" s="333">
        <v>1.1879999999999999</v>
      </c>
      <c r="F24" s="333">
        <v>1.2909999999999999</v>
      </c>
      <c r="G24" s="333"/>
      <c r="H24" s="334">
        <f ca="1">OFFSET($HH24,0,'Расчет стоимости'!$M$10,1,1)</f>
        <v>1.1200000000000001</v>
      </c>
      <c r="I24" s="333">
        <v>1</v>
      </c>
      <c r="J24" s="333">
        <v>1</v>
      </c>
      <c r="K24" s="332">
        <v>1</v>
      </c>
      <c r="L24" s="332">
        <v>1</v>
      </c>
      <c r="M24" s="335">
        <v>2.1000000000000001E-2</v>
      </c>
      <c r="N24" s="336">
        <v>1.9E-2</v>
      </c>
      <c r="O24" s="336">
        <v>0.01</v>
      </c>
      <c r="P24" s="336">
        <v>3.2000000000000001E-2</v>
      </c>
      <c r="Q24" s="336">
        <v>0</v>
      </c>
      <c r="R24" s="337" t="s">
        <v>234</v>
      </c>
      <c r="S24" s="336" t="s">
        <v>265</v>
      </c>
      <c r="T24" s="337">
        <f t="shared" si="165"/>
        <v>1.0149999999999999</v>
      </c>
      <c r="U24" s="337">
        <f t="shared" si="165"/>
        <v>1.0149999999999999</v>
      </c>
      <c r="V24" s="337">
        <f t="shared" si="165"/>
        <v>1.0149999999999999</v>
      </c>
      <c r="W24" s="337">
        <f t="shared" si="165"/>
        <v>1.0149999999999999</v>
      </c>
      <c r="X24" s="336">
        <f>HLOOKUP($X$4,Y$5:BB$91,$A24,FALSE)</f>
        <v>1</v>
      </c>
      <c r="Y24" s="336">
        <v>5.33</v>
      </c>
      <c r="Z24" s="336">
        <v>5.46</v>
      </c>
      <c r="AA24" s="336">
        <v>5.46</v>
      </c>
      <c r="AB24" s="336">
        <v>5.48</v>
      </c>
      <c r="AC24" s="336">
        <v>5.6</v>
      </c>
      <c r="AD24" s="336">
        <v>5.58</v>
      </c>
      <c r="AE24" s="336">
        <v>5.61</v>
      </c>
      <c r="AF24" s="336">
        <v>5.61</v>
      </c>
      <c r="AG24" s="336">
        <v>5.81</v>
      </c>
      <c r="AH24" s="336">
        <v>5.91</v>
      </c>
      <c r="AI24" s="336">
        <v>5.95</v>
      </c>
      <c r="AJ24" s="336">
        <v>5.95</v>
      </c>
      <c r="AK24" s="336">
        <v>6.05</v>
      </c>
      <c r="AL24" s="336">
        <v>6.13</v>
      </c>
      <c r="AM24" s="336">
        <v>6.13</v>
      </c>
      <c r="AN24" s="338">
        <v>6.17</v>
      </c>
      <c r="AO24" s="338">
        <v>1</v>
      </c>
      <c r="AP24" s="338">
        <v>1</v>
      </c>
      <c r="AQ24" s="338">
        <v>1</v>
      </c>
      <c r="AR24" s="338">
        <v>1</v>
      </c>
      <c r="AS24" s="338">
        <v>1</v>
      </c>
      <c r="AT24" s="338">
        <v>1</v>
      </c>
      <c r="AU24" s="338">
        <v>1</v>
      </c>
      <c r="AV24" s="338">
        <v>1</v>
      </c>
      <c r="AW24" s="338">
        <v>1</v>
      </c>
      <c r="AX24" s="338">
        <v>1</v>
      </c>
      <c r="AY24" s="338">
        <v>1</v>
      </c>
      <c r="AZ24" s="338">
        <v>1</v>
      </c>
      <c r="BA24" s="338">
        <v>1</v>
      </c>
      <c r="BB24" s="338">
        <v>1</v>
      </c>
      <c r="BD24" s="336">
        <f t="shared" si="167"/>
        <v>1</v>
      </c>
      <c r="BE24" s="336">
        <v>4.07</v>
      </c>
      <c r="BF24" s="336">
        <v>4.17</v>
      </c>
      <c r="BG24" s="336">
        <v>4.17</v>
      </c>
      <c r="BH24" s="336">
        <v>4.1900000000000004</v>
      </c>
      <c r="BI24" s="336">
        <v>4.28</v>
      </c>
      <c r="BJ24" s="336">
        <v>4.26</v>
      </c>
      <c r="BK24" s="336">
        <v>4.28</v>
      </c>
      <c r="BL24" s="336">
        <v>4.28</v>
      </c>
      <c r="BM24" s="336">
        <v>4.37</v>
      </c>
      <c r="BN24" s="336">
        <v>4.3899999999999997</v>
      </c>
      <c r="BO24" s="336">
        <v>4.41</v>
      </c>
      <c r="BP24" s="336">
        <v>4.41</v>
      </c>
      <c r="BQ24" s="336">
        <v>4.4800000000000004</v>
      </c>
      <c r="BR24" s="336">
        <v>4.54</v>
      </c>
      <c r="BS24" s="336">
        <v>4.54</v>
      </c>
      <c r="BT24" s="338">
        <v>4.57</v>
      </c>
      <c r="BU24" s="338">
        <v>1</v>
      </c>
      <c r="BV24" s="338">
        <v>1</v>
      </c>
      <c r="BW24" s="338">
        <v>1</v>
      </c>
      <c r="BX24" s="338">
        <v>1</v>
      </c>
      <c r="BY24" s="338">
        <v>1</v>
      </c>
      <c r="BZ24" s="338">
        <v>1</v>
      </c>
      <c r="CA24" s="338">
        <v>1</v>
      </c>
      <c r="CB24" s="338">
        <v>1</v>
      </c>
      <c r="CC24" s="338">
        <v>1</v>
      </c>
      <c r="CD24" s="338">
        <v>1</v>
      </c>
      <c r="CE24" s="338">
        <v>1</v>
      </c>
      <c r="CF24" s="338">
        <v>1</v>
      </c>
      <c r="CG24" s="338">
        <v>1</v>
      </c>
      <c r="CH24" s="338">
        <v>1</v>
      </c>
      <c r="CJ24" s="336">
        <f t="shared" si="168"/>
        <v>1</v>
      </c>
      <c r="CK24" s="336">
        <v>5.32</v>
      </c>
      <c r="CL24" s="336">
        <v>5.41</v>
      </c>
      <c r="CM24" s="336">
        <v>5.41</v>
      </c>
      <c r="CN24" s="336">
        <v>5.42</v>
      </c>
      <c r="CO24" s="336">
        <v>5.27</v>
      </c>
      <c r="CP24" s="336">
        <v>5.13</v>
      </c>
      <c r="CQ24" s="338">
        <v>1</v>
      </c>
      <c r="CR24" s="338">
        <v>1</v>
      </c>
      <c r="CS24" s="338">
        <v>1</v>
      </c>
      <c r="CT24" s="338">
        <v>1</v>
      </c>
      <c r="CU24" s="338">
        <v>1</v>
      </c>
      <c r="CV24" s="338">
        <v>1</v>
      </c>
      <c r="CW24" s="338">
        <v>1</v>
      </c>
      <c r="CX24" s="338">
        <v>1</v>
      </c>
      <c r="CY24" s="338">
        <v>1</v>
      </c>
      <c r="CZ24" s="338">
        <v>1</v>
      </c>
      <c r="DA24" s="338">
        <v>1</v>
      </c>
      <c r="DB24" s="338">
        <v>1</v>
      </c>
      <c r="DC24" s="338">
        <v>1</v>
      </c>
      <c r="DD24" s="338">
        <v>1</v>
      </c>
      <c r="DE24" s="338">
        <v>1</v>
      </c>
      <c r="DF24" s="338">
        <v>1</v>
      </c>
      <c r="DG24" s="338">
        <v>1</v>
      </c>
      <c r="DH24" s="338">
        <v>1</v>
      </c>
      <c r="DI24" s="338">
        <v>1</v>
      </c>
      <c r="DJ24" s="338">
        <v>1</v>
      </c>
      <c r="DK24" s="338">
        <v>1</v>
      </c>
      <c r="DL24" s="338">
        <v>1</v>
      </c>
      <c r="DM24" s="338">
        <v>1</v>
      </c>
      <c r="DN24" s="338">
        <v>1</v>
      </c>
      <c r="DP24" s="336">
        <f t="shared" si="169"/>
        <v>1</v>
      </c>
      <c r="DQ24" s="336">
        <v>4.03</v>
      </c>
      <c r="DR24" s="336">
        <v>4.13</v>
      </c>
      <c r="DS24" s="336">
        <v>4.13</v>
      </c>
      <c r="DT24" s="336">
        <v>4.1500000000000004</v>
      </c>
      <c r="DU24" s="336">
        <v>4.24</v>
      </c>
      <c r="DV24" s="336">
        <v>4.22</v>
      </c>
      <c r="DW24" s="336">
        <v>4.24</v>
      </c>
      <c r="DX24" s="336">
        <v>4.24</v>
      </c>
      <c r="DY24" s="336">
        <v>4.3899999999999997</v>
      </c>
      <c r="DZ24" s="336">
        <v>4.47</v>
      </c>
      <c r="EA24" s="336">
        <v>4.5</v>
      </c>
      <c r="EB24" s="336">
        <v>4.5</v>
      </c>
      <c r="EC24" s="336">
        <v>4.57</v>
      </c>
      <c r="ED24" s="336">
        <v>4.63</v>
      </c>
      <c r="EE24" s="336">
        <v>4.63</v>
      </c>
      <c r="EF24" s="338">
        <v>4.66</v>
      </c>
      <c r="EG24" s="338">
        <v>1</v>
      </c>
      <c r="EH24" s="338">
        <v>1</v>
      </c>
      <c r="EI24" s="338">
        <v>1</v>
      </c>
      <c r="EJ24" s="338">
        <v>1</v>
      </c>
      <c r="EK24" s="338">
        <v>1</v>
      </c>
      <c r="EL24" s="338">
        <v>1</v>
      </c>
      <c r="EM24" s="338">
        <v>1</v>
      </c>
      <c r="EN24" s="338">
        <v>1</v>
      </c>
      <c r="EO24" s="338">
        <v>1</v>
      </c>
      <c r="EP24" s="338">
        <v>1</v>
      </c>
      <c r="EQ24" s="338">
        <v>1</v>
      </c>
      <c r="ER24" s="338">
        <v>1</v>
      </c>
      <c r="ES24" s="338">
        <v>1</v>
      </c>
      <c r="ET24" s="338">
        <v>1</v>
      </c>
      <c r="EV24" s="336">
        <f t="shared" si="170"/>
        <v>1</v>
      </c>
      <c r="EW24" s="336">
        <v>5.45</v>
      </c>
      <c r="EX24" s="336">
        <v>5.58</v>
      </c>
      <c r="EY24" s="336">
        <v>5.58</v>
      </c>
      <c r="EZ24" s="336">
        <v>5.59</v>
      </c>
      <c r="FA24" s="336">
        <v>5.48</v>
      </c>
      <c r="FB24" s="336">
        <v>5.38</v>
      </c>
      <c r="FC24" s="338">
        <v>1</v>
      </c>
      <c r="FD24" s="338">
        <v>1</v>
      </c>
      <c r="FE24" s="338">
        <v>1</v>
      </c>
      <c r="FF24" s="338">
        <v>1</v>
      </c>
      <c r="FG24" s="338">
        <v>1</v>
      </c>
      <c r="FH24" s="338">
        <v>1</v>
      </c>
      <c r="FI24" s="338">
        <v>1</v>
      </c>
      <c r="FJ24" s="338">
        <v>1</v>
      </c>
      <c r="FK24" s="338">
        <v>1</v>
      </c>
      <c r="FL24" s="338">
        <v>1</v>
      </c>
      <c r="FM24" s="338">
        <v>1</v>
      </c>
      <c r="FN24" s="338">
        <v>1</v>
      </c>
      <c r="FO24" s="338">
        <v>1</v>
      </c>
      <c r="FP24" s="338">
        <v>1</v>
      </c>
      <c r="FQ24" s="338">
        <v>1</v>
      </c>
      <c r="FR24" s="338">
        <v>1</v>
      </c>
      <c r="FS24" s="338">
        <v>1</v>
      </c>
      <c r="FT24" s="338">
        <v>1</v>
      </c>
      <c r="FU24" s="338">
        <v>1</v>
      </c>
      <c r="FV24" s="338">
        <v>1</v>
      </c>
      <c r="FW24" s="338">
        <v>1</v>
      </c>
      <c r="FX24" s="338">
        <v>1</v>
      </c>
      <c r="FY24" s="338">
        <v>1</v>
      </c>
      <c r="FZ24" s="338">
        <v>1</v>
      </c>
      <c r="GB24" s="336">
        <f t="shared" si="171"/>
        <v>1</v>
      </c>
      <c r="GC24" s="336">
        <v>9.0299999999999994</v>
      </c>
      <c r="GD24" s="336">
        <v>9.26</v>
      </c>
      <c r="GE24" s="336">
        <v>9.26</v>
      </c>
      <c r="GF24" s="336">
        <v>9.3000000000000007</v>
      </c>
      <c r="GG24" s="336">
        <v>9.5</v>
      </c>
      <c r="GH24" s="336">
        <v>9.4600000000000009</v>
      </c>
      <c r="GI24" s="336">
        <v>9.51</v>
      </c>
      <c r="GJ24" s="336">
        <v>9.51</v>
      </c>
      <c r="GK24" s="336">
        <v>9.84</v>
      </c>
      <c r="GL24" s="336">
        <v>10.02</v>
      </c>
      <c r="GM24" s="336">
        <v>10.09</v>
      </c>
      <c r="GN24" s="336">
        <v>10.09</v>
      </c>
      <c r="GO24" s="336">
        <v>10.25</v>
      </c>
      <c r="GP24" s="336">
        <v>10.39</v>
      </c>
      <c r="GQ24" s="336">
        <v>10.39</v>
      </c>
      <c r="GR24" s="338">
        <v>10.45</v>
      </c>
      <c r="GS24" s="338">
        <v>1</v>
      </c>
      <c r="GT24" s="338">
        <v>1</v>
      </c>
      <c r="GU24" s="338">
        <v>1</v>
      </c>
      <c r="GV24" s="338">
        <v>1</v>
      </c>
      <c r="GW24" s="338">
        <v>1</v>
      </c>
      <c r="GX24" s="338">
        <v>1</v>
      </c>
      <c r="GY24" s="338">
        <v>1</v>
      </c>
      <c r="GZ24" s="338">
        <v>1</v>
      </c>
      <c r="HA24" s="338">
        <v>1</v>
      </c>
      <c r="HB24" s="338">
        <v>1</v>
      </c>
      <c r="HC24" s="338">
        <v>1</v>
      </c>
      <c r="HD24" s="338">
        <v>1</v>
      </c>
      <c r="HE24" s="338">
        <v>1</v>
      </c>
      <c r="HF24" s="338">
        <v>1</v>
      </c>
      <c r="HH24" s="331">
        <v>2</v>
      </c>
      <c r="HI24" s="339">
        <v>1.0900000000000001</v>
      </c>
      <c r="HJ24" s="335">
        <v>1.1200000000000001</v>
      </c>
      <c r="HK24" s="335">
        <v>1.1200000000000001</v>
      </c>
      <c r="HM24" s="331">
        <f t="shared" si="173"/>
        <v>18</v>
      </c>
      <c r="HN24" s="336">
        <v>1</v>
      </c>
      <c r="HO24" s="358">
        <v>1.0069999999999999</v>
      </c>
      <c r="HP24" s="358">
        <v>1.0089999999999999</v>
      </c>
      <c r="HQ24" s="358">
        <v>1.0149999999999999</v>
      </c>
      <c r="HR24" s="358">
        <v>1.024</v>
      </c>
      <c r="HS24" s="358">
        <v>1.026</v>
      </c>
      <c r="HT24" s="358">
        <v>1.0620000000000001</v>
      </c>
      <c r="HU24" s="358">
        <v>1.0369999999999999</v>
      </c>
      <c r="HV24" s="358">
        <v>1.0449999999999999</v>
      </c>
      <c r="HW24" s="358">
        <v>1.081</v>
      </c>
      <c r="HX24" s="358">
        <v>1.054</v>
      </c>
      <c r="HY24" s="358">
        <v>1.0920000000000001</v>
      </c>
      <c r="HZ24" s="358">
        <v>1.2</v>
      </c>
      <c r="IA24" s="358">
        <v>1.103</v>
      </c>
      <c r="IB24" s="358">
        <v>1.2070000000000001</v>
      </c>
      <c r="IC24" s="358">
        <v>1.22</v>
      </c>
      <c r="ID24" s="358">
        <v>1.2310000000000001</v>
      </c>
      <c r="IE24" s="358">
        <v>1.2330000000000001</v>
      </c>
    </row>
    <row r="25" spans="1:247" s="305" customFormat="1" ht="12.75" customHeight="1" x14ac:dyDescent="0.2">
      <c r="A25" s="300">
        <f t="shared" si="172"/>
        <v>21</v>
      </c>
      <c r="B25" s="301" t="s">
        <v>1317</v>
      </c>
      <c r="C25" s="302">
        <v>1.2370000000000001</v>
      </c>
      <c r="D25" s="302">
        <v>1.29</v>
      </c>
      <c r="E25" s="302">
        <v>1.0720000000000001</v>
      </c>
      <c r="F25" s="302">
        <v>1.169</v>
      </c>
      <c r="G25" s="302"/>
      <c r="H25" s="303">
        <f ca="1">OFFSET($HH25,0,'Расчет стоимости'!$M$10,1,1)</f>
        <v>1.22</v>
      </c>
      <c r="I25" s="302">
        <v>1</v>
      </c>
      <c r="J25" s="302">
        <v>1</v>
      </c>
      <c r="K25" s="301">
        <v>1</v>
      </c>
      <c r="L25" s="301">
        <v>1</v>
      </c>
      <c r="M25" s="304">
        <v>3.2000000000000001E-2</v>
      </c>
      <c r="N25" s="305">
        <v>2.8999999999999998E-2</v>
      </c>
      <c r="O25" s="305">
        <v>1.3000000000000001E-2</v>
      </c>
      <c r="P25" s="305">
        <v>0.04</v>
      </c>
      <c r="Q25" s="305">
        <v>3.0000000000000001E-3</v>
      </c>
      <c r="R25" s="306" t="s">
        <v>236</v>
      </c>
      <c r="S25" s="305" t="s">
        <v>265</v>
      </c>
      <c r="T25" s="306">
        <f t="shared" si="165"/>
        <v>1</v>
      </c>
      <c r="U25" s="306">
        <f t="shared" si="165"/>
        <v>1</v>
      </c>
      <c r="V25" s="306">
        <f t="shared" si="165"/>
        <v>1</v>
      </c>
      <c r="W25" s="306">
        <f t="shared" si="165"/>
        <v>1</v>
      </c>
      <c r="X25" s="305">
        <f t="shared" si="166"/>
        <v>1</v>
      </c>
      <c r="Y25" s="305">
        <v>6.35</v>
      </c>
      <c r="Z25" s="305">
        <v>6.42</v>
      </c>
      <c r="AA25" s="305">
        <v>6.42</v>
      </c>
      <c r="AB25" s="305">
        <v>6.45</v>
      </c>
      <c r="AC25" s="305">
        <v>6.59</v>
      </c>
      <c r="AD25" s="305">
        <v>6.56</v>
      </c>
      <c r="AE25" s="305">
        <v>6.6</v>
      </c>
      <c r="AF25" s="305">
        <v>6.6</v>
      </c>
      <c r="AG25" s="305">
        <v>6.83</v>
      </c>
      <c r="AH25" s="305">
        <v>6.96</v>
      </c>
      <c r="AI25" s="305">
        <v>7.01</v>
      </c>
      <c r="AJ25" s="305">
        <v>7.01</v>
      </c>
      <c r="AK25" s="305">
        <v>7.12</v>
      </c>
      <c r="AL25" s="305">
        <v>7.22</v>
      </c>
      <c r="AM25" s="305">
        <v>7.25</v>
      </c>
      <c r="AN25" s="307">
        <v>7.29</v>
      </c>
      <c r="AO25" s="307">
        <v>1</v>
      </c>
      <c r="AP25" s="307">
        <v>1</v>
      </c>
      <c r="AQ25" s="307">
        <v>1</v>
      </c>
      <c r="AR25" s="307">
        <v>1</v>
      </c>
      <c r="AS25" s="307">
        <v>1</v>
      </c>
      <c r="AT25" s="307">
        <v>1</v>
      </c>
      <c r="AU25" s="307">
        <v>1</v>
      </c>
      <c r="AV25" s="307">
        <v>1</v>
      </c>
      <c r="AW25" s="307">
        <v>1</v>
      </c>
      <c r="AX25" s="307">
        <v>1</v>
      </c>
      <c r="AY25" s="307">
        <v>1</v>
      </c>
      <c r="AZ25" s="307">
        <v>1</v>
      </c>
      <c r="BA25" s="307">
        <v>1</v>
      </c>
      <c r="BB25" s="307">
        <v>1</v>
      </c>
      <c r="BD25" s="305">
        <f t="shared" si="167"/>
        <v>1</v>
      </c>
      <c r="BE25" s="305">
        <v>4.21</v>
      </c>
      <c r="BF25" s="305">
        <v>4.32</v>
      </c>
      <c r="BG25" s="305">
        <v>4.32</v>
      </c>
      <c r="BH25" s="305">
        <v>4.34</v>
      </c>
      <c r="BI25" s="305">
        <v>4.43</v>
      </c>
      <c r="BJ25" s="305">
        <v>4.41</v>
      </c>
      <c r="BK25" s="305">
        <v>4.43</v>
      </c>
      <c r="BL25" s="305">
        <v>4.43</v>
      </c>
      <c r="BM25" s="305">
        <v>4.59</v>
      </c>
      <c r="BN25" s="305">
        <v>4.67</v>
      </c>
      <c r="BO25" s="305">
        <v>4.7</v>
      </c>
      <c r="BP25" s="305">
        <v>4.7</v>
      </c>
      <c r="BQ25" s="305">
        <v>4.78</v>
      </c>
      <c r="BR25" s="305">
        <v>4.8499999999999996</v>
      </c>
      <c r="BS25" s="305">
        <v>4.87</v>
      </c>
      <c r="BT25" s="307">
        <v>4.9000000000000004</v>
      </c>
      <c r="BU25" s="307">
        <v>1</v>
      </c>
      <c r="BV25" s="307">
        <v>1</v>
      </c>
      <c r="BW25" s="307">
        <v>1</v>
      </c>
      <c r="BX25" s="307">
        <v>1</v>
      </c>
      <c r="BY25" s="307">
        <v>1</v>
      </c>
      <c r="BZ25" s="307">
        <v>1</v>
      </c>
      <c r="CA25" s="307">
        <v>1</v>
      </c>
      <c r="CB25" s="307">
        <v>1</v>
      </c>
      <c r="CC25" s="307">
        <v>1</v>
      </c>
      <c r="CD25" s="307">
        <v>1</v>
      </c>
      <c r="CE25" s="307">
        <v>1</v>
      </c>
      <c r="CF25" s="307">
        <v>1</v>
      </c>
      <c r="CG25" s="307">
        <v>1</v>
      </c>
      <c r="CH25" s="307">
        <v>1</v>
      </c>
      <c r="CJ25" s="305">
        <f t="shared" si="168"/>
        <v>1</v>
      </c>
      <c r="CK25" s="305">
        <v>4.37</v>
      </c>
      <c r="CL25" s="305">
        <v>4.3099999999999996</v>
      </c>
      <c r="CM25" s="305">
        <v>4.3099999999999996</v>
      </c>
      <c r="CN25" s="305">
        <v>4.33</v>
      </c>
      <c r="CO25" s="305">
        <v>4.42</v>
      </c>
      <c r="CP25" s="305">
        <v>4.4000000000000004</v>
      </c>
      <c r="CQ25" s="307">
        <v>1</v>
      </c>
      <c r="CR25" s="307">
        <v>1</v>
      </c>
      <c r="CS25" s="307">
        <v>1</v>
      </c>
      <c r="CT25" s="307">
        <v>1</v>
      </c>
      <c r="CU25" s="307">
        <v>1</v>
      </c>
      <c r="CV25" s="307">
        <v>1</v>
      </c>
      <c r="CW25" s="307">
        <v>1</v>
      </c>
      <c r="CX25" s="307">
        <v>1</v>
      </c>
      <c r="CY25" s="307">
        <v>1</v>
      </c>
      <c r="CZ25" s="307">
        <v>1</v>
      </c>
      <c r="DA25" s="307">
        <v>1</v>
      </c>
      <c r="DB25" s="307">
        <v>1</v>
      </c>
      <c r="DC25" s="307">
        <v>1</v>
      </c>
      <c r="DD25" s="307">
        <v>1</v>
      </c>
      <c r="DE25" s="307">
        <v>1</v>
      </c>
      <c r="DF25" s="307">
        <v>1</v>
      </c>
      <c r="DG25" s="307">
        <v>1</v>
      </c>
      <c r="DH25" s="307">
        <v>1</v>
      </c>
      <c r="DI25" s="307">
        <v>1</v>
      </c>
      <c r="DJ25" s="307">
        <v>1</v>
      </c>
      <c r="DK25" s="307">
        <v>1</v>
      </c>
      <c r="DL25" s="307">
        <v>1</v>
      </c>
      <c r="DM25" s="307">
        <v>1</v>
      </c>
      <c r="DN25" s="307">
        <v>1</v>
      </c>
      <c r="DP25" s="305">
        <f t="shared" si="169"/>
        <v>1</v>
      </c>
      <c r="DQ25" s="305">
        <v>4.1500000000000004</v>
      </c>
      <c r="DR25" s="305">
        <v>4.26</v>
      </c>
      <c r="DS25" s="305">
        <v>4.26</v>
      </c>
      <c r="DT25" s="305">
        <v>4.28</v>
      </c>
      <c r="DU25" s="305">
        <v>4.37</v>
      </c>
      <c r="DV25" s="305">
        <v>4.3499999999999996</v>
      </c>
      <c r="DW25" s="305">
        <v>4.37</v>
      </c>
      <c r="DX25" s="305">
        <v>4.37</v>
      </c>
      <c r="DY25" s="305">
        <v>4.5199999999999996</v>
      </c>
      <c r="DZ25" s="305">
        <v>4.5999999999999996</v>
      </c>
      <c r="EA25" s="305">
        <v>4.63</v>
      </c>
      <c r="EB25" s="305">
        <v>4.63</v>
      </c>
      <c r="EC25" s="305">
        <v>4.7</v>
      </c>
      <c r="ED25" s="305">
        <v>4.7699999999999996</v>
      </c>
      <c r="EE25" s="305">
        <v>4.78</v>
      </c>
      <c r="EF25" s="307">
        <v>4.8099999999999996</v>
      </c>
      <c r="EG25" s="307">
        <v>1</v>
      </c>
      <c r="EH25" s="307">
        <v>1</v>
      </c>
      <c r="EI25" s="307">
        <v>1</v>
      </c>
      <c r="EJ25" s="307">
        <v>1</v>
      </c>
      <c r="EK25" s="307">
        <v>1</v>
      </c>
      <c r="EL25" s="307">
        <v>1</v>
      </c>
      <c r="EM25" s="307">
        <v>1</v>
      </c>
      <c r="EN25" s="307">
        <v>1</v>
      </c>
      <c r="EO25" s="307">
        <v>1</v>
      </c>
      <c r="EP25" s="307">
        <v>1</v>
      </c>
      <c r="EQ25" s="307">
        <v>1</v>
      </c>
      <c r="ER25" s="307">
        <v>1</v>
      </c>
      <c r="ES25" s="307">
        <v>1</v>
      </c>
      <c r="ET25" s="307">
        <v>1</v>
      </c>
      <c r="EV25" s="305">
        <f t="shared" si="170"/>
        <v>1</v>
      </c>
      <c r="EW25" s="305">
        <v>4.5599999999999996</v>
      </c>
      <c r="EX25" s="305">
        <v>4.6500000000000004</v>
      </c>
      <c r="EY25" s="305">
        <v>4.6500000000000004</v>
      </c>
      <c r="EZ25" s="305">
        <v>4.67</v>
      </c>
      <c r="FA25" s="305">
        <v>4.7699999999999996</v>
      </c>
      <c r="FB25" s="305">
        <v>4.75</v>
      </c>
      <c r="FC25" s="307">
        <v>1</v>
      </c>
      <c r="FD25" s="307">
        <v>1</v>
      </c>
      <c r="FE25" s="307">
        <v>1</v>
      </c>
      <c r="FF25" s="307">
        <v>1</v>
      </c>
      <c r="FG25" s="307">
        <v>1</v>
      </c>
      <c r="FH25" s="307">
        <v>1</v>
      </c>
      <c r="FI25" s="307">
        <v>1</v>
      </c>
      <c r="FJ25" s="307">
        <v>1</v>
      </c>
      <c r="FK25" s="307">
        <v>1</v>
      </c>
      <c r="FL25" s="307">
        <v>1</v>
      </c>
      <c r="FM25" s="307">
        <v>1</v>
      </c>
      <c r="FN25" s="307">
        <v>1</v>
      </c>
      <c r="FO25" s="307">
        <v>1</v>
      </c>
      <c r="FP25" s="307">
        <v>1</v>
      </c>
      <c r="FQ25" s="307">
        <v>1</v>
      </c>
      <c r="FR25" s="307">
        <v>1</v>
      </c>
      <c r="FS25" s="307">
        <v>1</v>
      </c>
      <c r="FT25" s="307">
        <v>1</v>
      </c>
      <c r="FU25" s="307">
        <v>1</v>
      </c>
      <c r="FV25" s="307">
        <v>1</v>
      </c>
      <c r="FW25" s="307">
        <v>1</v>
      </c>
      <c r="FX25" s="307">
        <v>1</v>
      </c>
      <c r="FY25" s="307">
        <v>1</v>
      </c>
      <c r="FZ25" s="307">
        <v>1</v>
      </c>
      <c r="GB25" s="305">
        <f t="shared" si="171"/>
        <v>1</v>
      </c>
      <c r="GC25" s="305">
        <v>12.66</v>
      </c>
      <c r="GD25" s="305">
        <v>12.94</v>
      </c>
      <c r="GE25" s="305">
        <v>12.94</v>
      </c>
      <c r="GF25" s="305">
        <v>12.99</v>
      </c>
      <c r="GG25" s="305">
        <v>13.26</v>
      </c>
      <c r="GH25" s="305">
        <v>13.21</v>
      </c>
      <c r="GI25" s="305">
        <v>13.27</v>
      </c>
      <c r="GJ25" s="305">
        <v>13.27</v>
      </c>
      <c r="GK25" s="305">
        <v>13.73</v>
      </c>
      <c r="GL25" s="305">
        <v>13.98</v>
      </c>
      <c r="GM25" s="305">
        <v>14.08</v>
      </c>
      <c r="GN25" s="305">
        <v>14.08</v>
      </c>
      <c r="GO25" s="305">
        <v>14.31</v>
      </c>
      <c r="GP25" s="305">
        <v>14.51</v>
      </c>
      <c r="GQ25" s="305">
        <v>14.57</v>
      </c>
      <c r="GR25" s="307">
        <v>14.66</v>
      </c>
      <c r="GS25" s="307">
        <v>1</v>
      </c>
      <c r="GT25" s="307">
        <v>1</v>
      </c>
      <c r="GU25" s="307">
        <v>1</v>
      </c>
      <c r="GV25" s="307">
        <v>1</v>
      </c>
      <c r="GW25" s="307">
        <v>1</v>
      </c>
      <c r="GX25" s="307">
        <v>1</v>
      </c>
      <c r="GY25" s="307">
        <v>1</v>
      </c>
      <c r="GZ25" s="307">
        <v>1</v>
      </c>
      <c r="HA25" s="307">
        <v>1</v>
      </c>
      <c r="HB25" s="307">
        <v>1</v>
      </c>
      <c r="HC25" s="307">
        <v>1</v>
      </c>
      <c r="HD25" s="307">
        <v>1</v>
      </c>
      <c r="HE25" s="307">
        <v>1</v>
      </c>
      <c r="HF25" s="307">
        <v>1</v>
      </c>
      <c r="HH25" s="300">
        <v>3</v>
      </c>
      <c r="HI25" s="308">
        <v>1.0900000000000001</v>
      </c>
      <c r="HJ25" s="304">
        <v>1.19</v>
      </c>
      <c r="HK25" s="304">
        <v>1.22</v>
      </c>
      <c r="HM25" s="300">
        <f t="shared" si="173"/>
        <v>20</v>
      </c>
      <c r="HN25" s="305">
        <v>1</v>
      </c>
      <c r="HO25" s="309">
        <v>1.03</v>
      </c>
      <c r="HP25" s="309">
        <v>1.04</v>
      </c>
      <c r="HQ25" s="309">
        <v>1</v>
      </c>
      <c r="HR25" s="309">
        <v>1.06</v>
      </c>
      <c r="HS25" s="309">
        <v>1.03</v>
      </c>
      <c r="HT25" s="309">
        <v>1.07</v>
      </c>
      <c r="HU25" s="309">
        <v>1.03</v>
      </c>
      <c r="HV25" s="309">
        <v>1.0900000000000001</v>
      </c>
      <c r="HW25" s="309">
        <v>1.0900000000000001</v>
      </c>
      <c r="HX25" s="309">
        <v>1.04</v>
      </c>
      <c r="HY25" s="309">
        <v>1.03</v>
      </c>
      <c r="HZ25" s="309">
        <v>1.0900000000000001</v>
      </c>
      <c r="IA25" s="309">
        <v>1.08</v>
      </c>
      <c r="IB25" s="309">
        <v>1.18</v>
      </c>
      <c r="IC25" s="309">
        <v>1.19</v>
      </c>
      <c r="ID25" s="309">
        <v>1.2</v>
      </c>
      <c r="IE25" s="309">
        <v>1.1599999999999999</v>
      </c>
      <c r="IF25" s="309">
        <v>1.2</v>
      </c>
      <c r="IG25" s="309">
        <v>1.24</v>
      </c>
    </row>
    <row r="26" spans="1:247" s="316" customFormat="1" ht="12.75" customHeight="1" x14ac:dyDescent="0.2">
      <c r="A26" s="311">
        <f t="shared" si="172"/>
        <v>22</v>
      </c>
      <c r="B26" s="312" t="s">
        <v>1319</v>
      </c>
      <c r="C26" s="313">
        <v>1.5549999999999999</v>
      </c>
      <c r="D26" s="313">
        <v>1.653</v>
      </c>
      <c r="E26" s="313">
        <v>1.32</v>
      </c>
      <c r="F26" s="313">
        <v>1.19</v>
      </c>
      <c r="G26" s="313"/>
      <c r="H26" s="314">
        <f ca="1">OFFSET($HH26,0,'Расчет стоимости'!$M$10,1,1)</f>
        <v>1.22</v>
      </c>
      <c r="I26" s="313">
        <v>1</v>
      </c>
      <c r="J26" s="313">
        <v>1</v>
      </c>
      <c r="K26" s="312">
        <v>1</v>
      </c>
      <c r="L26" s="312">
        <v>1</v>
      </c>
      <c r="M26" s="315">
        <v>3.2000000000000001E-2</v>
      </c>
      <c r="N26" s="316">
        <v>2.9000000000000001E-2</v>
      </c>
      <c r="O26" s="316">
        <v>1.2999999999999999E-2</v>
      </c>
      <c r="P26" s="316">
        <v>0.04</v>
      </c>
      <c r="Q26" s="316">
        <v>3.0000000000000001E-3</v>
      </c>
      <c r="R26" s="317" t="s">
        <v>235</v>
      </c>
      <c r="S26" s="316" t="s">
        <v>266</v>
      </c>
      <c r="T26" s="317">
        <f t="shared" ref="T26:W45" si="174">IF(IFERROR(HLOOKUP(T$5,$HN$5:$IQ$91,$A26,FALSE),0)=0,1,HLOOKUP(T$5,$HN$5:$IQ$91,$A26,FALSE))</f>
        <v>1</v>
      </c>
      <c r="U26" s="317">
        <f t="shared" si="174"/>
        <v>1</v>
      </c>
      <c r="V26" s="317">
        <f t="shared" si="174"/>
        <v>1</v>
      </c>
      <c r="W26" s="317">
        <f t="shared" si="174"/>
        <v>1</v>
      </c>
      <c r="X26" s="316">
        <f t="shared" si="166"/>
        <v>1</v>
      </c>
      <c r="Y26" s="316">
        <v>8.4499999999999993</v>
      </c>
      <c r="Z26" s="316">
        <f>8.61</f>
        <v>8.61</v>
      </c>
      <c r="AA26" s="316">
        <v>8.61</v>
      </c>
      <c r="AB26" s="316">
        <v>8.64</v>
      </c>
      <c r="AC26" s="316">
        <v>8.82</v>
      </c>
      <c r="AD26" s="316">
        <v>8.7799999999999994</v>
      </c>
      <c r="AE26" s="316">
        <v>8.36</v>
      </c>
      <c r="AF26" s="316">
        <v>8.36</v>
      </c>
      <c r="AG26" s="316">
        <v>8.65</v>
      </c>
      <c r="AH26" s="316">
        <v>8.81</v>
      </c>
      <c r="AI26" s="316">
        <v>7.3</v>
      </c>
      <c r="AJ26" s="316">
        <v>7.3</v>
      </c>
      <c r="AK26" s="316">
        <v>7.42</v>
      </c>
      <c r="AL26" s="316">
        <v>7.52</v>
      </c>
      <c r="AM26" s="316">
        <v>7.31</v>
      </c>
      <c r="AN26" s="318">
        <v>7.35</v>
      </c>
      <c r="AO26" s="318">
        <v>1</v>
      </c>
      <c r="AP26" s="318">
        <v>1</v>
      </c>
      <c r="AQ26" s="318">
        <v>1</v>
      </c>
      <c r="AR26" s="318">
        <v>1</v>
      </c>
      <c r="AS26" s="318">
        <v>1</v>
      </c>
      <c r="AT26" s="318">
        <v>1</v>
      </c>
      <c r="AU26" s="318">
        <v>1</v>
      </c>
      <c r="AV26" s="318">
        <v>1</v>
      </c>
      <c r="AW26" s="318">
        <v>1</v>
      </c>
      <c r="AX26" s="318">
        <v>1</v>
      </c>
      <c r="AY26" s="318">
        <v>1</v>
      </c>
      <c r="AZ26" s="318">
        <v>1</v>
      </c>
      <c r="BA26" s="318">
        <v>1</v>
      </c>
      <c r="BB26" s="318">
        <v>1</v>
      </c>
      <c r="BD26" s="316">
        <f t="shared" si="167"/>
        <v>1</v>
      </c>
      <c r="BE26" s="316">
        <v>4.7699999999999996</v>
      </c>
      <c r="BF26" s="316">
        <v>4.79</v>
      </c>
      <c r="BG26" s="316">
        <v>4.79</v>
      </c>
      <c r="BH26" s="316">
        <v>4.8099999999999996</v>
      </c>
      <c r="BI26" s="316">
        <v>4.91</v>
      </c>
      <c r="BJ26" s="316">
        <v>4.71</v>
      </c>
      <c r="BK26" s="316">
        <v>4.6500000000000004</v>
      </c>
      <c r="BL26" s="316">
        <v>4.6500000000000004</v>
      </c>
      <c r="BM26" s="316">
        <v>4.8</v>
      </c>
      <c r="BN26" s="316">
        <v>4.8499999999999996</v>
      </c>
      <c r="BO26" s="316">
        <v>4.26</v>
      </c>
      <c r="BP26" s="316">
        <v>4.26</v>
      </c>
      <c r="BQ26" s="316">
        <v>4.33</v>
      </c>
      <c r="BR26" s="316">
        <v>4.3899999999999997</v>
      </c>
      <c r="BS26" s="316">
        <v>4.3</v>
      </c>
      <c r="BT26" s="318">
        <v>4.33</v>
      </c>
      <c r="BU26" s="318">
        <v>1</v>
      </c>
      <c r="BV26" s="318">
        <v>1</v>
      </c>
      <c r="BW26" s="318">
        <v>1</v>
      </c>
      <c r="BX26" s="318">
        <v>1</v>
      </c>
      <c r="BY26" s="318">
        <v>1</v>
      </c>
      <c r="BZ26" s="318">
        <v>1</v>
      </c>
      <c r="CA26" s="318">
        <v>1</v>
      </c>
      <c r="CB26" s="318">
        <v>1</v>
      </c>
      <c r="CC26" s="318">
        <v>1</v>
      </c>
      <c r="CD26" s="318">
        <v>1</v>
      </c>
      <c r="CE26" s="318">
        <v>1</v>
      </c>
      <c r="CF26" s="318">
        <v>1</v>
      </c>
      <c r="CG26" s="318">
        <v>1</v>
      </c>
      <c r="CH26" s="318">
        <v>1</v>
      </c>
      <c r="CJ26" s="316">
        <f t="shared" si="168"/>
        <v>1</v>
      </c>
      <c r="CK26" s="316">
        <v>5.15</v>
      </c>
      <c r="CL26" s="316">
        <v>4.91</v>
      </c>
      <c r="CM26" s="316">
        <v>4.91</v>
      </c>
      <c r="CN26" s="316">
        <v>4.82</v>
      </c>
      <c r="CO26" s="316">
        <v>4.92</v>
      </c>
      <c r="CP26" s="316">
        <v>4.78</v>
      </c>
      <c r="CQ26" s="318">
        <v>1</v>
      </c>
      <c r="CR26" s="318">
        <v>1</v>
      </c>
      <c r="CS26" s="318">
        <v>1</v>
      </c>
      <c r="CT26" s="318">
        <v>1</v>
      </c>
      <c r="CU26" s="318">
        <v>1</v>
      </c>
      <c r="CV26" s="318">
        <v>1</v>
      </c>
      <c r="CW26" s="318">
        <v>1</v>
      </c>
      <c r="CX26" s="318">
        <v>1</v>
      </c>
      <c r="CY26" s="318">
        <v>1</v>
      </c>
      <c r="CZ26" s="318">
        <v>1</v>
      </c>
      <c r="DA26" s="318">
        <v>1</v>
      </c>
      <c r="DB26" s="318">
        <v>1</v>
      </c>
      <c r="DC26" s="318">
        <v>1</v>
      </c>
      <c r="DD26" s="318">
        <v>1</v>
      </c>
      <c r="DE26" s="318">
        <v>1</v>
      </c>
      <c r="DF26" s="318">
        <v>1</v>
      </c>
      <c r="DG26" s="318">
        <v>1</v>
      </c>
      <c r="DH26" s="318">
        <v>1</v>
      </c>
      <c r="DI26" s="318">
        <v>1</v>
      </c>
      <c r="DJ26" s="318">
        <v>1</v>
      </c>
      <c r="DK26" s="318">
        <v>1</v>
      </c>
      <c r="DL26" s="318">
        <v>1</v>
      </c>
      <c r="DM26" s="318">
        <v>1</v>
      </c>
      <c r="DN26" s="318">
        <v>1</v>
      </c>
      <c r="DP26" s="316">
        <f t="shared" si="169"/>
        <v>1</v>
      </c>
      <c r="DQ26" s="316">
        <v>6.64</v>
      </c>
      <c r="DR26" s="316">
        <v>6.64</v>
      </c>
      <c r="DS26" s="316">
        <v>6.64</v>
      </c>
      <c r="DT26" s="316">
        <v>6.67</v>
      </c>
      <c r="DU26" s="316">
        <v>6.81</v>
      </c>
      <c r="DV26" s="316">
        <v>6.78</v>
      </c>
      <c r="DW26" s="316">
        <v>6.82</v>
      </c>
      <c r="DX26" s="316">
        <v>6.82</v>
      </c>
      <c r="DY26" s="316">
        <v>7.06</v>
      </c>
      <c r="DZ26" s="316">
        <v>7.19</v>
      </c>
      <c r="EA26" s="316">
        <v>6.28</v>
      </c>
      <c r="EB26" s="316">
        <v>6.28</v>
      </c>
      <c r="EC26" s="316">
        <v>6.38</v>
      </c>
      <c r="ED26" s="316">
        <v>6.47</v>
      </c>
      <c r="EE26" s="316">
        <v>5.98</v>
      </c>
      <c r="EF26" s="318">
        <v>6.02</v>
      </c>
      <c r="EG26" s="318">
        <v>1</v>
      </c>
      <c r="EH26" s="318">
        <v>1</v>
      </c>
      <c r="EI26" s="318">
        <v>1</v>
      </c>
      <c r="EJ26" s="318">
        <v>1</v>
      </c>
      <c r="EK26" s="318">
        <v>1</v>
      </c>
      <c r="EL26" s="318">
        <v>1</v>
      </c>
      <c r="EM26" s="318">
        <v>1</v>
      </c>
      <c r="EN26" s="318">
        <v>1</v>
      </c>
      <c r="EO26" s="318">
        <v>1</v>
      </c>
      <c r="EP26" s="318">
        <v>1</v>
      </c>
      <c r="EQ26" s="318">
        <v>1</v>
      </c>
      <c r="ER26" s="318">
        <v>1</v>
      </c>
      <c r="ES26" s="318">
        <v>1</v>
      </c>
      <c r="ET26" s="318">
        <v>1</v>
      </c>
      <c r="EV26" s="316">
        <f t="shared" si="170"/>
        <v>1</v>
      </c>
      <c r="EW26" s="316">
        <v>6.1</v>
      </c>
      <c r="EX26" s="316">
        <v>5.88</v>
      </c>
      <c r="EY26" s="316">
        <v>5.88</v>
      </c>
      <c r="EZ26" s="316">
        <v>5.9</v>
      </c>
      <c r="FA26" s="316">
        <v>6.02</v>
      </c>
      <c r="FB26" s="316">
        <v>6</v>
      </c>
      <c r="FC26" s="318">
        <v>1</v>
      </c>
      <c r="FD26" s="318">
        <v>1</v>
      </c>
      <c r="FE26" s="318">
        <v>1</v>
      </c>
      <c r="FF26" s="318">
        <v>1</v>
      </c>
      <c r="FG26" s="318">
        <v>1</v>
      </c>
      <c r="FH26" s="318">
        <v>1</v>
      </c>
      <c r="FI26" s="318">
        <v>1</v>
      </c>
      <c r="FJ26" s="318">
        <v>1</v>
      </c>
      <c r="FK26" s="318">
        <v>1</v>
      </c>
      <c r="FL26" s="318">
        <v>1</v>
      </c>
      <c r="FM26" s="318">
        <v>1</v>
      </c>
      <c r="FN26" s="318">
        <v>1</v>
      </c>
      <c r="FO26" s="318">
        <v>1</v>
      </c>
      <c r="FP26" s="318">
        <v>1</v>
      </c>
      <c r="FQ26" s="318">
        <v>1</v>
      </c>
      <c r="FR26" s="318">
        <v>1</v>
      </c>
      <c r="FS26" s="318">
        <v>1</v>
      </c>
      <c r="FT26" s="318">
        <v>1</v>
      </c>
      <c r="FU26" s="318">
        <v>1</v>
      </c>
      <c r="FV26" s="318">
        <v>1</v>
      </c>
      <c r="FW26" s="318">
        <v>1</v>
      </c>
      <c r="FX26" s="318">
        <v>1</v>
      </c>
      <c r="FY26" s="318">
        <v>1</v>
      </c>
      <c r="FZ26" s="318">
        <v>1</v>
      </c>
      <c r="GB26" s="316">
        <f t="shared" si="171"/>
        <v>1</v>
      </c>
      <c r="GC26" s="316">
        <v>19.350000000000001</v>
      </c>
      <c r="GD26" s="316">
        <f>19.61</f>
        <v>19.61</v>
      </c>
      <c r="GE26" s="316">
        <v>19.61</v>
      </c>
      <c r="GF26" s="316">
        <v>19.690000000000001</v>
      </c>
      <c r="GG26" s="316">
        <v>20.100000000000001</v>
      </c>
      <c r="GH26" s="316">
        <v>20.02</v>
      </c>
      <c r="GI26" s="316">
        <v>20.12</v>
      </c>
      <c r="GJ26" s="316">
        <v>20.12</v>
      </c>
      <c r="GK26" s="316">
        <v>20.82</v>
      </c>
      <c r="GL26" s="316">
        <v>21.2</v>
      </c>
      <c r="GM26" s="316">
        <v>16.18</v>
      </c>
      <c r="GN26" s="316">
        <v>16.18</v>
      </c>
      <c r="GO26" s="316">
        <v>16.440000000000001</v>
      </c>
      <c r="GP26" s="316">
        <v>16.670000000000002</v>
      </c>
      <c r="GQ26" s="316">
        <v>16.29</v>
      </c>
      <c r="GR26" s="318">
        <v>16.149999999999999</v>
      </c>
      <c r="GS26" s="318">
        <v>1</v>
      </c>
      <c r="GT26" s="318">
        <v>1</v>
      </c>
      <c r="GU26" s="318">
        <v>1</v>
      </c>
      <c r="GV26" s="318">
        <v>1</v>
      </c>
      <c r="GW26" s="318">
        <v>1</v>
      </c>
      <c r="GX26" s="318">
        <v>1</v>
      </c>
      <c r="GY26" s="318">
        <v>1</v>
      </c>
      <c r="GZ26" s="318">
        <v>1</v>
      </c>
      <c r="HA26" s="318">
        <v>1</v>
      </c>
      <c r="HB26" s="318">
        <v>1</v>
      </c>
      <c r="HC26" s="318">
        <v>1</v>
      </c>
      <c r="HD26" s="318">
        <v>1</v>
      </c>
      <c r="HE26" s="318">
        <v>1</v>
      </c>
      <c r="HF26" s="318">
        <v>1</v>
      </c>
      <c r="HH26" s="311">
        <v>3</v>
      </c>
      <c r="HI26" s="319">
        <v>1.0900000000000001</v>
      </c>
      <c r="HJ26" s="315">
        <v>1.1200000000000001</v>
      </c>
      <c r="HK26" s="315">
        <v>1.22</v>
      </c>
      <c r="HM26" s="311">
        <f t="shared" si="173"/>
        <v>1</v>
      </c>
      <c r="HN26" s="316">
        <v>1</v>
      </c>
      <c r="HO26" s="320"/>
    </row>
    <row r="27" spans="1:247" hidden="1" x14ac:dyDescent="0.2">
      <c r="A27" s="373">
        <f t="shared" si="172"/>
        <v>23</v>
      </c>
      <c r="B27" s="149" t="s">
        <v>262</v>
      </c>
      <c r="C27" s="150">
        <v>1.385</v>
      </c>
      <c r="D27" s="150"/>
      <c r="E27" s="150"/>
      <c r="F27" s="150"/>
      <c r="G27" s="150"/>
      <c r="H27" s="226">
        <f ca="1">OFFSET($HH27,0,'Расчет стоимости'!$M$10,1,1)</f>
        <v>1.22</v>
      </c>
      <c r="I27" s="150">
        <v>1</v>
      </c>
      <c r="J27" s="150">
        <v>1</v>
      </c>
      <c r="K27" s="149">
        <v>1</v>
      </c>
      <c r="L27" s="149">
        <v>1</v>
      </c>
      <c r="M27" s="372">
        <v>4.2999999999999997E-2</v>
      </c>
      <c r="N27" s="145">
        <v>3.6999999999999998E-2</v>
      </c>
      <c r="O27" s="145">
        <v>1.7000000000000001E-2</v>
      </c>
      <c r="P27" s="145">
        <v>5.5E-2</v>
      </c>
      <c r="Q27" s="145">
        <v>4.0000000000000001E-3</v>
      </c>
      <c r="R27" s="153" t="s">
        <v>242</v>
      </c>
      <c r="S27" s="145" t="s">
        <v>265</v>
      </c>
      <c r="T27" s="225">
        <f t="shared" si="174"/>
        <v>1</v>
      </c>
      <c r="U27" s="225">
        <f t="shared" si="174"/>
        <v>1</v>
      </c>
      <c r="V27" s="225">
        <f t="shared" si="174"/>
        <v>1</v>
      </c>
      <c r="W27" s="225">
        <f t="shared" si="174"/>
        <v>1</v>
      </c>
      <c r="X27" s="145">
        <f t="shared" si="166"/>
        <v>1</v>
      </c>
      <c r="Y27" s="145">
        <v>10.11</v>
      </c>
      <c r="Z27" s="145">
        <v>10.37</v>
      </c>
      <c r="AA27" s="145">
        <v>10.37</v>
      </c>
      <c r="AB27" s="145">
        <v>10.41</v>
      </c>
      <c r="AC27" s="145">
        <v>10.63</v>
      </c>
      <c r="AD27" s="41">
        <v>10.59</v>
      </c>
      <c r="AE27" s="41">
        <v>1</v>
      </c>
      <c r="AF27" s="41">
        <v>1</v>
      </c>
      <c r="AG27" s="41">
        <v>1</v>
      </c>
      <c r="AH27" s="41">
        <v>1</v>
      </c>
      <c r="AI27" s="41">
        <v>1</v>
      </c>
      <c r="AJ27" s="41">
        <v>1</v>
      </c>
      <c r="AK27" s="41">
        <v>1</v>
      </c>
      <c r="AL27" s="41">
        <v>1</v>
      </c>
      <c r="AM27" s="41">
        <v>1</v>
      </c>
      <c r="AN27" s="40">
        <v>1</v>
      </c>
      <c r="AO27" s="40">
        <v>1</v>
      </c>
      <c r="AP27" s="40">
        <v>1</v>
      </c>
      <c r="AQ27" s="40">
        <v>1</v>
      </c>
      <c r="AR27" s="40">
        <v>1</v>
      </c>
      <c r="AS27" s="40">
        <v>1</v>
      </c>
      <c r="AT27" s="40">
        <v>1</v>
      </c>
      <c r="AU27" s="40">
        <v>1</v>
      </c>
      <c r="AV27" s="40">
        <v>1</v>
      </c>
      <c r="AW27" s="40">
        <v>1</v>
      </c>
      <c r="AX27" s="40">
        <v>1</v>
      </c>
      <c r="AY27" s="40">
        <v>1</v>
      </c>
      <c r="AZ27" s="40">
        <v>1</v>
      </c>
      <c r="BA27" s="40">
        <v>1</v>
      </c>
      <c r="BB27" s="40">
        <v>1</v>
      </c>
      <c r="BD27" s="316">
        <f t="shared" si="167"/>
        <v>1</v>
      </c>
      <c r="BE27" s="145">
        <v>6.41</v>
      </c>
      <c r="BF27" s="145">
        <v>6.22</v>
      </c>
      <c r="BG27" s="145">
        <v>6.22</v>
      </c>
      <c r="BH27" s="145">
        <v>6.24</v>
      </c>
      <c r="BI27" s="145">
        <v>6.36</v>
      </c>
      <c r="BJ27" s="41">
        <v>6.29</v>
      </c>
      <c r="BK27" s="41">
        <v>1</v>
      </c>
      <c r="BL27" s="41">
        <v>1</v>
      </c>
      <c r="BM27" s="41">
        <v>1</v>
      </c>
      <c r="BN27" s="41">
        <v>1</v>
      </c>
      <c r="BO27" s="41">
        <v>1</v>
      </c>
      <c r="BP27" s="41">
        <v>1</v>
      </c>
      <c r="BQ27" s="41">
        <v>1</v>
      </c>
      <c r="BR27" s="41">
        <v>1</v>
      </c>
      <c r="BS27" s="41">
        <v>1</v>
      </c>
      <c r="BT27" s="40">
        <v>1</v>
      </c>
      <c r="BU27" s="40">
        <v>1</v>
      </c>
      <c r="BV27" s="40">
        <v>1</v>
      </c>
      <c r="BW27" s="40">
        <v>1</v>
      </c>
      <c r="BX27" s="40">
        <v>1</v>
      </c>
      <c r="BY27" s="40">
        <v>1</v>
      </c>
      <c r="BZ27" s="40">
        <v>1</v>
      </c>
      <c r="CA27" s="40">
        <v>1</v>
      </c>
      <c r="CB27" s="40">
        <v>1</v>
      </c>
      <c r="CC27" s="40">
        <v>1</v>
      </c>
      <c r="CD27" s="40">
        <v>1</v>
      </c>
      <c r="CE27" s="40">
        <v>1</v>
      </c>
      <c r="CF27" s="40">
        <v>1</v>
      </c>
      <c r="CG27" s="40">
        <v>1</v>
      </c>
      <c r="CH27" s="40">
        <v>1</v>
      </c>
      <c r="CJ27" s="145">
        <f t="shared" si="168"/>
        <v>1</v>
      </c>
      <c r="CK27" s="145">
        <v>6.53</v>
      </c>
      <c r="CL27" s="145">
        <v>6.24</v>
      </c>
      <c r="CM27" s="145">
        <v>6.24</v>
      </c>
      <c r="CN27" s="145">
        <v>5.83</v>
      </c>
      <c r="CO27" s="145">
        <v>5.95</v>
      </c>
      <c r="CP27" s="41">
        <v>5.93</v>
      </c>
      <c r="CQ27" s="40">
        <v>1</v>
      </c>
      <c r="CR27" s="40">
        <v>1</v>
      </c>
      <c r="CS27" s="40">
        <v>1</v>
      </c>
      <c r="CT27" s="40">
        <v>1</v>
      </c>
      <c r="CU27" s="40">
        <v>1</v>
      </c>
      <c r="CV27" s="40">
        <v>1</v>
      </c>
      <c r="CW27" s="40">
        <v>1</v>
      </c>
      <c r="CX27" s="40">
        <v>1</v>
      </c>
      <c r="CY27" s="40">
        <v>1</v>
      </c>
      <c r="CZ27" s="40">
        <v>1</v>
      </c>
      <c r="DA27" s="40">
        <v>1</v>
      </c>
      <c r="DB27" s="40">
        <v>1</v>
      </c>
      <c r="DC27" s="40">
        <v>1</v>
      </c>
      <c r="DD27" s="40">
        <v>1</v>
      </c>
      <c r="DE27" s="40">
        <v>1</v>
      </c>
      <c r="DF27" s="40">
        <v>1</v>
      </c>
      <c r="DG27" s="40">
        <v>1</v>
      </c>
      <c r="DH27" s="40">
        <v>1</v>
      </c>
      <c r="DI27" s="40">
        <v>1</v>
      </c>
      <c r="DJ27" s="40">
        <v>1</v>
      </c>
      <c r="DK27" s="40">
        <v>1</v>
      </c>
      <c r="DL27" s="40">
        <v>1</v>
      </c>
      <c r="DM27" s="40">
        <v>1</v>
      </c>
      <c r="DN27" s="40">
        <v>1</v>
      </c>
      <c r="DP27" s="316">
        <f t="shared" si="169"/>
        <v>1</v>
      </c>
      <c r="DQ27" s="145">
        <v>8.91</v>
      </c>
      <c r="DR27" s="145">
        <v>8.93</v>
      </c>
      <c r="DS27" s="145">
        <v>8.93</v>
      </c>
      <c r="DT27" s="145">
        <v>8.9700000000000006</v>
      </c>
      <c r="DU27" s="145">
        <v>9.16</v>
      </c>
      <c r="DV27" s="41">
        <v>9.1199999999999992</v>
      </c>
      <c r="DW27" s="41">
        <v>1</v>
      </c>
      <c r="DX27" s="41">
        <v>1</v>
      </c>
      <c r="DY27" s="41">
        <v>1</v>
      </c>
      <c r="DZ27" s="41">
        <v>1</v>
      </c>
      <c r="EA27" s="41">
        <v>1</v>
      </c>
      <c r="EB27" s="41">
        <v>1</v>
      </c>
      <c r="EC27" s="41">
        <v>1</v>
      </c>
      <c r="ED27" s="41">
        <v>1</v>
      </c>
      <c r="EE27" s="41">
        <v>1</v>
      </c>
      <c r="EF27" s="40">
        <v>1</v>
      </c>
      <c r="EG27" s="40">
        <v>1</v>
      </c>
      <c r="EH27" s="40">
        <v>1</v>
      </c>
      <c r="EI27" s="40">
        <v>1</v>
      </c>
      <c r="EJ27" s="40">
        <v>1</v>
      </c>
      <c r="EK27" s="40">
        <v>1</v>
      </c>
      <c r="EL27" s="40">
        <v>1</v>
      </c>
      <c r="EM27" s="40">
        <v>1</v>
      </c>
      <c r="EN27" s="40">
        <v>1</v>
      </c>
      <c r="EO27" s="40">
        <v>1</v>
      </c>
      <c r="EP27" s="40">
        <v>1</v>
      </c>
      <c r="EQ27" s="40">
        <v>1</v>
      </c>
      <c r="ER27" s="40">
        <v>1</v>
      </c>
      <c r="ES27" s="40">
        <v>1</v>
      </c>
      <c r="ET27" s="40">
        <v>1</v>
      </c>
      <c r="EV27" s="145">
        <f t="shared" si="170"/>
        <v>1</v>
      </c>
      <c r="EW27" s="145">
        <v>7.71</v>
      </c>
      <c r="EX27" s="145">
        <v>7.58</v>
      </c>
      <c r="EY27" s="145">
        <v>7.58</v>
      </c>
      <c r="EZ27" s="145">
        <v>7.5</v>
      </c>
      <c r="FA27" s="145">
        <v>7.66</v>
      </c>
      <c r="FB27" s="41">
        <v>7.63</v>
      </c>
      <c r="FC27" s="40">
        <v>1</v>
      </c>
      <c r="FD27" s="40">
        <v>1</v>
      </c>
      <c r="FE27" s="40">
        <v>1</v>
      </c>
      <c r="FF27" s="40">
        <v>1</v>
      </c>
      <c r="FG27" s="40">
        <v>1</v>
      </c>
      <c r="FH27" s="40">
        <v>1</v>
      </c>
      <c r="FI27" s="40">
        <v>1</v>
      </c>
      <c r="FJ27" s="40">
        <v>1</v>
      </c>
      <c r="FK27" s="40">
        <v>1</v>
      </c>
      <c r="FL27" s="40">
        <v>1</v>
      </c>
      <c r="FM27" s="40">
        <v>1</v>
      </c>
      <c r="FN27" s="40">
        <v>1</v>
      </c>
      <c r="FO27" s="40">
        <v>1</v>
      </c>
      <c r="FP27" s="40">
        <v>1</v>
      </c>
      <c r="FQ27" s="40">
        <v>1</v>
      </c>
      <c r="FR27" s="40">
        <v>1</v>
      </c>
      <c r="FS27" s="40">
        <v>1</v>
      </c>
      <c r="FT27" s="40">
        <v>1</v>
      </c>
      <c r="FU27" s="40">
        <v>1</v>
      </c>
      <c r="FV27" s="40">
        <v>1</v>
      </c>
      <c r="FW27" s="40">
        <v>1</v>
      </c>
      <c r="FX27" s="40">
        <v>1</v>
      </c>
      <c r="FY27" s="40">
        <v>1</v>
      </c>
      <c r="FZ27" s="40">
        <v>1</v>
      </c>
      <c r="GB27" s="316">
        <f t="shared" si="171"/>
        <v>1</v>
      </c>
      <c r="GC27" s="145">
        <v>28.39</v>
      </c>
      <c r="GD27" s="145">
        <v>28.47</v>
      </c>
      <c r="GE27" s="145">
        <v>28.47</v>
      </c>
      <c r="GF27" s="145">
        <v>28.58</v>
      </c>
      <c r="GG27" s="145">
        <v>29.18</v>
      </c>
      <c r="GH27" s="41">
        <v>29.06</v>
      </c>
      <c r="GI27" s="41">
        <v>1</v>
      </c>
      <c r="GJ27" s="41">
        <v>1</v>
      </c>
      <c r="GK27" s="41">
        <v>1</v>
      </c>
      <c r="GL27" s="41">
        <v>1</v>
      </c>
      <c r="GM27" s="41">
        <v>1</v>
      </c>
      <c r="GN27" s="41">
        <v>1</v>
      </c>
      <c r="GO27" s="41">
        <v>1</v>
      </c>
      <c r="GP27" s="41">
        <v>1</v>
      </c>
      <c r="GQ27" s="41">
        <v>1</v>
      </c>
      <c r="GR27" s="40">
        <v>1</v>
      </c>
      <c r="GS27" s="40">
        <v>1</v>
      </c>
      <c r="GT27" s="40">
        <v>1</v>
      </c>
      <c r="GU27" s="40">
        <v>1</v>
      </c>
      <c r="GV27" s="40">
        <v>1</v>
      </c>
      <c r="GW27" s="40">
        <v>1</v>
      </c>
      <c r="GX27" s="40">
        <v>1</v>
      </c>
      <c r="GY27" s="40">
        <v>1</v>
      </c>
      <c r="GZ27" s="40">
        <v>1</v>
      </c>
      <c r="HA27" s="40">
        <v>1</v>
      </c>
      <c r="HB27" s="40">
        <v>1</v>
      </c>
      <c r="HC27" s="40">
        <v>1</v>
      </c>
      <c r="HD27" s="40">
        <v>1</v>
      </c>
      <c r="HE27" s="40">
        <v>1</v>
      </c>
      <c r="HF27" s="40">
        <v>1</v>
      </c>
      <c r="HH27" s="373">
        <v>2</v>
      </c>
      <c r="HI27" s="218">
        <v>1.1200000000000001</v>
      </c>
      <c r="HJ27" s="41">
        <v>1.22</v>
      </c>
      <c r="HK27" s="41">
        <v>1.22</v>
      </c>
      <c r="HM27" s="373">
        <f t="shared" si="173"/>
        <v>1</v>
      </c>
      <c r="HN27" s="145">
        <v>1</v>
      </c>
    </row>
    <row r="28" spans="1:247" s="265" customFormat="1" ht="12.75" customHeight="1" x14ac:dyDescent="0.2">
      <c r="A28" s="260">
        <f t="shared" si="172"/>
        <v>24</v>
      </c>
      <c r="B28" s="261" t="s">
        <v>121</v>
      </c>
      <c r="C28" s="262">
        <v>1.0820000000000001</v>
      </c>
      <c r="D28" s="262">
        <v>1.087</v>
      </c>
      <c r="E28" s="262">
        <v>1.044</v>
      </c>
      <c r="F28" s="262">
        <v>1.167</v>
      </c>
      <c r="G28" s="262"/>
      <c r="H28" s="263">
        <f ca="1">OFFSET($HH28,0,'Расчет стоимости'!$M$10,1,1)</f>
        <v>1</v>
      </c>
      <c r="I28" s="262">
        <v>1</v>
      </c>
      <c r="J28" s="262">
        <v>1</v>
      </c>
      <c r="K28" s="261">
        <v>1</v>
      </c>
      <c r="L28" s="261">
        <v>1</v>
      </c>
      <c r="M28" s="264">
        <v>3.2000000000000001E-2</v>
      </c>
      <c r="N28" s="265">
        <v>2.8999999999999998E-2</v>
      </c>
      <c r="O28" s="265">
        <v>1.3000000000000001E-2</v>
      </c>
      <c r="P28" s="265">
        <v>0.04</v>
      </c>
      <c r="Q28" s="265">
        <v>3.0000000000000001E-3</v>
      </c>
      <c r="R28" s="298" t="s">
        <v>238</v>
      </c>
      <c r="T28" s="266">
        <f t="shared" si="174"/>
        <v>0.99</v>
      </c>
      <c r="U28" s="266">
        <f t="shared" si="174"/>
        <v>0.99</v>
      </c>
      <c r="V28" s="266">
        <f t="shared" si="174"/>
        <v>0.99</v>
      </c>
      <c r="W28" s="266">
        <f t="shared" si="174"/>
        <v>0.99</v>
      </c>
      <c r="X28" s="265">
        <f t="shared" si="166"/>
        <v>1</v>
      </c>
      <c r="Y28" s="265">
        <v>6.62</v>
      </c>
      <c r="Z28" s="265">
        <v>6.8</v>
      </c>
      <c r="AA28" s="265">
        <v>6.8</v>
      </c>
      <c r="AB28" s="265">
        <v>6.83</v>
      </c>
      <c r="AC28" s="265">
        <v>6.97</v>
      </c>
      <c r="AD28" s="265">
        <v>6.94</v>
      </c>
      <c r="AE28" s="265">
        <v>6.98</v>
      </c>
      <c r="AF28" s="265">
        <v>6.98</v>
      </c>
      <c r="AG28" s="265">
        <v>7.22</v>
      </c>
      <c r="AH28" s="265">
        <v>7.35</v>
      </c>
      <c r="AI28" s="265">
        <v>7.4</v>
      </c>
      <c r="AJ28" s="265">
        <v>7.4</v>
      </c>
      <c r="AK28" s="265">
        <v>7.52</v>
      </c>
      <c r="AL28" s="265">
        <v>7.63</v>
      </c>
      <c r="AM28" s="265">
        <v>7.66</v>
      </c>
      <c r="AN28" s="267">
        <v>6.64</v>
      </c>
      <c r="AO28" s="267">
        <v>1</v>
      </c>
      <c r="AP28" s="267">
        <v>1</v>
      </c>
      <c r="AQ28" s="267">
        <v>1</v>
      </c>
      <c r="AR28" s="267">
        <v>1</v>
      </c>
      <c r="AS28" s="267">
        <v>1</v>
      </c>
      <c r="AT28" s="267">
        <v>1</v>
      </c>
      <c r="AU28" s="267">
        <v>1</v>
      </c>
      <c r="AV28" s="267">
        <v>1</v>
      </c>
      <c r="AW28" s="267">
        <v>1</v>
      </c>
      <c r="AX28" s="267">
        <v>1</v>
      </c>
      <c r="AY28" s="267">
        <v>1</v>
      </c>
      <c r="AZ28" s="267">
        <v>1</v>
      </c>
      <c r="BA28" s="267">
        <v>1</v>
      </c>
      <c r="BB28" s="267">
        <v>1</v>
      </c>
      <c r="BD28" s="265">
        <f t="shared" si="167"/>
        <v>1</v>
      </c>
      <c r="BE28" s="265">
        <v>4.38</v>
      </c>
      <c r="BF28" s="265">
        <v>4.47</v>
      </c>
      <c r="BG28" s="265">
        <v>4.47</v>
      </c>
      <c r="BH28" s="265">
        <v>4.46</v>
      </c>
      <c r="BI28" s="265">
        <v>4.49</v>
      </c>
      <c r="BJ28" s="265">
        <v>4.47</v>
      </c>
      <c r="BK28" s="265">
        <v>4.49</v>
      </c>
      <c r="BL28" s="265">
        <v>4.49</v>
      </c>
      <c r="BM28" s="265">
        <v>4.6500000000000004</v>
      </c>
      <c r="BN28" s="265">
        <v>4.7300000000000004</v>
      </c>
      <c r="BO28" s="265">
        <v>4.76</v>
      </c>
      <c r="BP28" s="265">
        <v>4.76</v>
      </c>
      <c r="BQ28" s="265">
        <v>4.84</v>
      </c>
      <c r="BR28" s="265">
        <v>4.91</v>
      </c>
      <c r="BS28" s="265">
        <v>4.93</v>
      </c>
      <c r="BT28" s="267">
        <v>5.0999999999999996</v>
      </c>
      <c r="BU28" s="267">
        <v>1</v>
      </c>
      <c r="BV28" s="267">
        <v>1</v>
      </c>
      <c r="BW28" s="267">
        <v>1</v>
      </c>
      <c r="BX28" s="267">
        <v>1</v>
      </c>
      <c r="BY28" s="267">
        <v>1</v>
      </c>
      <c r="BZ28" s="267">
        <v>1</v>
      </c>
      <c r="CA28" s="267">
        <v>1</v>
      </c>
      <c r="CB28" s="267">
        <v>1</v>
      </c>
      <c r="CC28" s="267">
        <v>1</v>
      </c>
      <c r="CD28" s="267">
        <v>1</v>
      </c>
      <c r="CE28" s="267">
        <v>1</v>
      </c>
      <c r="CF28" s="267">
        <v>1</v>
      </c>
      <c r="CG28" s="267">
        <v>1</v>
      </c>
      <c r="CH28" s="267">
        <v>1</v>
      </c>
      <c r="CJ28" s="265">
        <f t="shared" si="168"/>
        <v>1</v>
      </c>
      <c r="CK28" s="265">
        <v>4.42</v>
      </c>
      <c r="CL28" s="265">
        <v>4.53</v>
      </c>
      <c r="CM28" s="265">
        <v>4.53</v>
      </c>
      <c r="CN28" s="265">
        <v>4.55</v>
      </c>
      <c r="CO28" s="265">
        <v>4.62</v>
      </c>
      <c r="CP28" s="265">
        <v>4.5999999999999996</v>
      </c>
      <c r="CQ28" s="267">
        <v>1</v>
      </c>
      <c r="CR28" s="267">
        <v>1</v>
      </c>
      <c r="CS28" s="267">
        <v>1</v>
      </c>
      <c r="CT28" s="267">
        <v>1</v>
      </c>
      <c r="CU28" s="267">
        <v>1</v>
      </c>
      <c r="CV28" s="267">
        <v>1</v>
      </c>
      <c r="CW28" s="267">
        <v>1</v>
      </c>
      <c r="CX28" s="267">
        <v>1</v>
      </c>
      <c r="CY28" s="267">
        <v>1</v>
      </c>
      <c r="CZ28" s="267">
        <v>1</v>
      </c>
      <c r="DA28" s="267">
        <v>1</v>
      </c>
      <c r="DB28" s="267">
        <v>1</v>
      </c>
      <c r="DC28" s="267">
        <v>1</v>
      </c>
      <c r="DD28" s="267">
        <v>1</v>
      </c>
      <c r="DE28" s="267">
        <v>1</v>
      </c>
      <c r="DF28" s="267">
        <v>1</v>
      </c>
      <c r="DG28" s="267">
        <v>1</v>
      </c>
      <c r="DH28" s="267">
        <v>1</v>
      </c>
      <c r="DI28" s="267">
        <v>1</v>
      </c>
      <c r="DJ28" s="267">
        <v>1</v>
      </c>
      <c r="DK28" s="267">
        <v>1</v>
      </c>
      <c r="DL28" s="267">
        <v>1</v>
      </c>
      <c r="DM28" s="267">
        <v>1</v>
      </c>
      <c r="DN28" s="267">
        <v>1</v>
      </c>
      <c r="DP28" s="265">
        <f t="shared" si="169"/>
        <v>1</v>
      </c>
      <c r="DQ28" s="265">
        <v>4.26</v>
      </c>
      <c r="DR28" s="265">
        <v>4.37</v>
      </c>
      <c r="DS28" s="265">
        <v>4.37</v>
      </c>
      <c r="DT28" s="265">
        <v>4.3899999999999997</v>
      </c>
      <c r="DU28" s="265">
        <v>4.4800000000000004</v>
      </c>
      <c r="DV28" s="265">
        <v>4.46</v>
      </c>
      <c r="DW28" s="265">
        <v>4.4800000000000004</v>
      </c>
      <c r="DX28" s="265">
        <v>4.4800000000000004</v>
      </c>
      <c r="DY28" s="265">
        <v>4.6399999999999997</v>
      </c>
      <c r="DZ28" s="265">
        <v>4.72</v>
      </c>
      <c r="EA28" s="265">
        <v>4.75</v>
      </c>
      <c r="EB28" s="265">
        <v>4.75</v>
      </c>
      <c r="EC28" s="265">
        <v>4.83</v>
      </c>
      <c r="ED28" s="265">
        <v>4.9000000000000004</v>
      </c>
      <c r="EE28" s="265">
        <v>4.92</v>
      </c>
      <c r="EF28" s="267">
        <v>6.35</v>
      </c>
      <c r="EG28" s="267">
        <v>1</v>
      </c>
      <c r="EH28" s="267">
        <v>1</v>
      </c>
      <c r="EI28" s="267">
        <v>1</v>
      </c>
      <c r="EJ28" s="267">
        <v>1</v>
      </c>
      <c r="EK28" s="267">
        <v>1</v>
      </c>
      <c r="EL28" s="267">
        <v>1</v>
      </c>
      <c r="EM28" s="267">
        <v>1</v>
      </c>
      <c r="EN28" s="267">
        <v>1</v>
      </c>
      <c r="EO28" s="267">
        <v>1</v>
      </c>
      <c r="EP28" s="267">
        <v>1</v>
      </c>
      <c r="EQ28" s="267">
        <v>1</v>
      </c>
      <c r="ER28" s="267">
        <v>1</v>
      </c>
      <c r="ES28" s="267">
        <v>1</v>
      </c>
      <c r="ET28" s="267">
        <v>1</v>
      </c>
      <c r="EV28" s="265">
        <f t="shared" si="170"/>
        <v>1</v>
      </c>
      <c r="EW28" s="265">
        <v>4.71</v>
      </c>
      <c r="EX28" s="265">
        <v>4.84</v>
      </c>
      <c r="EY28" s="265">
        <v>4.84</v>
      </c>
      <c r="EZ28" s="265">
        <v>4.8600000000000003</v>
      </c>
      <c r="FA28" s="265">
        <v>4.96</v>
      </c>
      <c r="FB28" s="265">
        <v>4.9400000000000004</v>
      </c>
      <c r="FC28" s="267">
        <v>1</v>
      </c>
      <c r="FD28" s="267">
        <v>1</v>
      </c>
      <c r="FE28" s="267">
        <v>1</v>
      </c>
      <c r="FF28" s="267">
        <v>1</v>
      </c>
      <c r="FG28" s="267">
        <v>1</v>
      </c>
      <c r="FH28" s="267">
        <v>1</v>
      </c>
      <c r="FI28" s="267">
        <v>1</v>
      </c>
      <c r="FJ28" s="267">
        <v>1</v>
      </c>
      <c r="FK28" s="267">
        <v>1</v>
      </c>
      <c r="FL28" s="267">
        <v>1</v>
      </c>
      <c r="FM28" s="267">
        <v>1</v>
      </c>
      <c r="FN28" s="267">
        <v>1</v>
      </c>
      <c r="FO28" s="267">
        <v>1</v>
      </c>
      <c r="FP28" s="267">
        <v>1</v>
      </c>
      <c r="FQ28" s="267">
        <v>1</v>
      </c>
      <c r="FR28" s="267">
        <v>1</v>
      </c>
      <c r="FS28" s="267">
        <v>1</v>
      </c>
      <c r="FT28" s="267">
        <v>1</v>
      </c>
      <c r="FU28" s="267">
        <v>1</v>
      </c>
      <c r="FV28" s="267">
        <v>1</v>
      </c>
      <c r="FW28" s="267">
        <v>1</v>
      </c>
      <c r="FX28" s="267">
        <v>1</v>
      </c>
      <c r="FY28" s="267">
        <v>1</v>
      </c>
      <c r="FZ28" s="267">
        <v>1</v>
      </c>
      <c r="GB28" s="265">
        <f t="shared" si="171"/>
        <v>1</v>
      </c>
      <c r="GC28" s="265">
        <v>13.04</v>
      </c>
      <c r="GD28" s="265">
        <v>13.38</v>
      </c>
      <c r="GE28" s="265">
        <v>13.38</v>
      </c>
      <c r="GF28" s="265">
        <v>13.43</v>
      </c>
      <c r="GG28" s="265">
        <v>13.71</v>
      </c>
      <c r="GH28" s="265">
        <v>13.66</v>
      </c>
      <c r="GI28" s="265">
        <v>13.72</v>
      </c>
      <c r="GJ28" s="265">
        <v>13.72</v>
      </c>
      <c r="GK28" s="265">
        <v>14.2</v>
      </c>
      <c r="GL28" s="265">
        <v>14.45</v>
      </c>
      <c r="GM28" s="265">
        <v>14.55</v>
      </c>
      <c r="GN28" s="265">
        <v>14.55</v>
      </c>
      <c r="GO28" s="265">
        <v>14.78</v>
      </c>
      <c r="GP28" s="265">
        <v>14.99</v>
      </c>
      <c r="GQ28" s="265">
        <v>15.05</v>
      </c>
      <c r="GR28" s="267">
        <v>12.6</v>
      </c>
      <c r="GS28" s="267">
        <v>1</v>
      </c>
      <c r="GT28" s="267">
        <v>1</v>
      </c>
      <c r="GU28" s="267">
        <v>1</v>
      </c>
      <c r="GV28" s="267">
        <v>1</v>
      </c>
      <c r="GW28" s="267">
        <v>1</v>
      </c>
      <c r="GX28" s="267">
        <v>1</v>
      </c>
      <c r="GY28" s="267">
        <v>1</v>
      </c>
      <c r="GZ28" s="267">
        <v>1</v>
      </c>
      <c r="HA28" s="267">
        <v>1</v>
      </c>
      <c r="HB28" s="267">
        <v>1</v>
      </c>
      <c r="HC28" s="267">
        <v>1</v>
      </c>
      <c r="HD28" s="267">
        <v>1</v>
      </c>
      <c r="HE28" s="267">
        <v>1</v>
      </c>
      <c r="HF28" s="267">
        <v>1</v>
      </c>
      <c r="HH28" s="260">
        <v>1</v>
      </c>
      <c r="HI28" s="268">
        <v>1</v>
      </c>
      <c r="HJ28" s="268">
        <v>1</v>
      </c>
      <c r="HK28" s="268">
        <v>1</v>
      </c>
      <c r="HM28" s="260">
        <f t="shared" si="173"/>
        <v>26</v>
      </c>
      <c r="HN28" s="265">
        <v>1</v>
      </c>
      <c r="HO28" s="299">
        <v>0.95899999999999996</v>
      </c>
      <c r="HP28" s="299">
        <v>1.002</v>
      </c>
      <c r="HQ28" s="299">
        <v>0.99</v>
      </c>
      <c r="HR28" s="299">
        <v>0.997</v>
      </c>
      <c r="HS28" s="299">
        <v>0.996</v>
      </c>
      <c r="HT28" s="299">
        <v>1.004</v>
      </c>
      <c r="HU28" s="299">
        <v>1.004</v>
      </c>
      <c r="HV28" s="299">
        <v>0.99</v>
      </c>
      <c r="HW28" s="299">
        <v>0.995</v>
      </c>
      <c r="HX28" s="299">
        <v>1.006</v>
      </c>
      <c r="HY28" s="299">
        <v>1.0009999999999999</v>
      </c>
      <c r="HZ28" s="299">
        <v>1.006</v>
      </c>
      <c r="IA28" s="299">
        <v>0.997</v>
      </c>
      <c r="IB28" s="299">
        <v>1.002</v>
      </c>
      <c r="IC28" s="299">
        <v>0.999</v>
      </c>
      <c r="ID28" s="299">
        <v>1</v>
      </c>
      <c r="IE28" s="299">
        <v>1.0009999999999999</v>
      </c>
      <c r="IF28" s="299">
        <v>0.997</v>
      </c>
      <c r="IG28" s="299">
        <v>0.99299999999999999</v>
      </c>
      <c r="IH28" s="299">
        <v>0.997</v>
      </c>
      <c r="II28" s="299">
        <v>0.999</v>
      </c>
      <c r="IJ28" s="299">
        <v>1.0069999999999999</v>
      </c>
      <c r="IK28" s="299">
        <v>1.0129999999999999</v>
      </c>
      <c r="IL28" s="299">
        <v>1.01</v>
      </c>
      <c r="IM28" s="299">
        <v>1.012</v>
      </c>
    </row>
    <row r="29" spans="1:247" ht="12.75" hidden="1" customHeight="1" x14ac:dyDescent="0.2">
      <c r="A29" s="373">
        <f t="shared" si="172"/>
        <v>25</v>
      </c>
      <c r="B29" s="149" t="s">
        <v>125</v>
      </c>
      <c r="C29" s="150">
        <v>1.3540000000000001</v>
      </c>
      <c r="D29" s="150">
        <v>1.4530000000000001</v>
      </c>
      <c r="E29" s="150">
        <v>1.0620000000000001</v>
      </c>
      <c r="F29" s="150">
        <v>1.1850000000000001</v>
      </c>
      <c r="G29" s="150"/>
      <c r="H29" s="226">
        <f ca="1">OFFSET($HH29,0,'Расчет стоимости'!$M$10,1,1)</f>
        <v>1</v>
      </c>
      <c r="I29" s="150">
        <v>1</v>
      </c>
      <c r="J29" s="150">
        <v>1</v>
      </c>
      <c r="K29" s="149">
        <v>1</v>
      </c>
      <c r="L29" s="149">
        <v>1</v>
      </c>
      <c r="M29" s="372">
        <v>6.0000000000000001E-3</v>
      </c>
      <c r="N29" s="145">
        <v>4.0000000000000001E-3</v>
      </c>
      <c r="O29" s="145">
        <v>3.0000000000000001E-3</v>
      </c>
      <c r="P29" s="145">
        <v>6.9999999999999993E-3</v>
      </c>
      <c r="Q29" s="145">
        <v>0</v>
      </c>
      <c r="R29" s="153" t="s">
        <v>239</v>
      </c>
      <c r="T29" s="225">
        <f t="shared" si="174"/>
        <v>1</v>
      </c>
      <c r="U29" s="225">
        <f t="shared" si="174"/>
        <v>1</v>
      </c>
      <c r="V29" s="225">
        <f t="shared" si="174"/>
        <v>1</v>
      </c>
      <c r="W29" s="225">
        <f t="shared" si="174"/>
        <v>1</v>
      </c>
      <c r="X29" s="265">
        <f t="shared" si="166"/>
        <v>1</v>
      </c>
      <c r="Y29" s="145">
        <v>6.73</v>
      </c>
      <c r="Z29" s="145">
        <v>6.8</v>
      </c>
      <c r="AA29" s="145">
        <v>6.8</v>
      </c>
      <c r="AB29" s="145">
        <v>6.83</v>
      </c>
      <c r="AC29" s="145">
        <v>6.95</v>
      </c>
      <c r="AD29" s="41">
        <v>6.92</v>
      </c>
      <c r="AE29" s="41">
        <v>1</v>
      </c>
      <c r="AF29" s="41">
        <v>1</v>
      </c>
      <c r="AG29" s="41">
        <v>1</v>
      </c>
      <c r="AH29" s="41">
        <v>1</v>
      </c>
      <c r="AI29" s="41">
        <v>1</v>
      </c>
      <c r="AJ29" s="41">
        <v>1</v>
      </c>
      <c r="AK29" s="41">
        <v>1</v>
      </c>
      <c r="AL29" s="41">
        <v>1</v>
      </c>
      <c r="AM29" s="41">
        <v>1</v>
      </c>
      <c r="AN29" s="40">
        <v>1</v>
      </c>
      <c r="AO29" s="40">
        <v>1</v>
      </c>
      <c r="AP29" s="40">
        <v>1</v>
      </c>
      <c r="AQ29" s="40">
        <v>1</v>
      </c>
      <c r="AR29" s="40">
        <v>1</v>
      </c>
      <c r="AS29" s="40">
        <v>1</v>
      </c>
      <c r="AT29" s="40">
        <v>1</v>
      </c>
      <c r="AU29" s="40">
        <v>1</v>
      </c>
      <c r="AV29" s="40">
        <v>1</v>
      </c>
      <c r="AW29" s="40">
        <v>1</v>
      </c>
      <c r="AX29" s="40">
        <v>1</v>
      </c>
      <c r="AY29" s="40">
        <v>1</v>
      </c>
      <c r="AZ29" s="40">
        <v>1</v>
      </c>
      <c r="BA29" s="40">
        <v>1</v>
      </c>
      <c r="BB29" s="40">
        <v>1</v>
      </c>
      <c r="BD29" s="316">
        <f t="shared" si="167"/>
        <v>1</v>
      </c>
      <c r="BE29" s="145">
        <v>3.91</v>
      </c>
      <c r="BF29" s="145">
        <v>3.87</v>
      </c>
      <c r="BG29" s="145">
        <v>3.87</v>
      </c>
      <c r="BH29" s="145">
        <v>3.89</v>
      </c>
      <c r="BI29" s="145">
        <v>3.97</v>
      </c>
      <c r="BJ29" s="41">
        <v>3.95</v>
      </c>
      <c r="BK29" s="41">
        <v>1</v>
      </c>
      <c r="BL29" s="41">
        <v>1</v>
      </c>
      <c r="BM29" s="41">
        <v>1</v>
      </c>
      <c r="BN29" s="41">
        <v>1</v>
      </c>
      <c r="BO29" s="41">
        <v>1</v>
      </c>
      <c r="BP29" s="41">
        <v>1</v>
      </c>
      <c r="BQ29" s="41">
        <v>1</v>
      </c>
      <c r="BR29" s="41">
        <v>1</v>
      </c>
      <c r="BS29" s="41">
        <v>1</v>
      </c>
      <c r="BT29" s="40">
        <v>1</v>
      </c>
      <c r="BU29" s="40">
        <v>1</v>
      </c>
      <c r="BV29" s="40">
        <v>1</v>
      </c>
      <c r="BW29" s="40">
        <v>1</v>
      </c>
      <c r="BX29" s="40">
        <v>1</v>
      </c>
      <c r="BY29" s="40">
        <v>1</v>
      </c>
      <c r="BZ29" s="40">
        <v>1</v>
      </c>
      <c r="CA29" s="40">
        <v>1</v>
      </c>
      <c r="CB29" s="40">
        <v>1</v>
      </c>
      <c r="CC29" s="40">
        <v>1</v>
      </c>
      <c r="CD29" s="40">
        <v>1</v>
      </c>
      <c r="CE29" s="40">
        <v>1</v>
      </c>
      <c r="CF29" s="40">
        <v>1</v>
      </c>
      <c r="CG29" s="40">
        <v>1</v>
      </c>
      <c r="CH29" s="40">
        <v>1</v>
      </c>
      <c r="CJ29" s="145">
        <f t="shared" si="168"/>
        <v>1</v>
      </c>
      <c r="CK29" s="145">
        <v>3.54</v>
      </c>
      <c r="CL29" s="145">
        <v>3.63</v>
      </c>
      <c r="CM29" s="145">
        <v>3.63</v>
      </c>
      <c r="CN29" s="145">
        <v>3.64</v>
      </c>
      <c r="CO29" s="145">
        <v>3.72</v>
      </c>
      <c r="CP29" s="41">
        <v>3.71</v>
      </c>
      <c r="CQ29" s="40">
        <v>1</v>
      </c>
      <c r="CR29" s="40">
        <v>1</v>
      </c>
      <c r="CS29" s="40">
        <v>1</v>
      </c>
      <c r="CT29" s="40">
        <v>1</v>
      </c>
      <c r="CU29" s="40">
        <v>1</v>
      </c>
      <c r="CV29" s="40">
        <v>1</v>
      </c>
      <c r="CW29" s="40">
        <v>1</v>
      </c>
      <c r="CX29" s="40">
        <v>1</v>
      </c>
      <c r="CY29" s="40">
        <v>1</v>
      </c>
      <c r="CZ29" s="40">
        <v>1</v>
      </c>
      <c r="DA29" s="40">
        <v>1</v>
      </c>
      <c r="DB29" s="40">
        <v>1</v>
      </c>
      <c r="DC29" s="40">
        <v>1</v>
      </c>
      <c r="DD29" s="40">
        <v>1</v>
      </c>
      <c r="DE29" s="40">
        <v>1</v>
      </c>
      <c r="DF29" s="40">
        <v>1</v>
      </c>
      <c r="DG29" s="40">
        <v>1</v>
      </c>
      <c r="DH29" s="40">
        <v>1</v>
      </c>
      <c r="DI29" s="40">
        <v>1</v>
      </c>
      <c r="DJ29" s="40">
        <v>1</v>
      </c>
      <c r="DK29" s="40">
        <v>1</v>
      </c>
      <c r="DL29" s="40">
        <v>1</v>
      </c>
      <c r="DM29" s="40">
        <v>1</v>
      </c>
      <c r="DN29" s="40">
        <v>1</v>
      </c>
      <c r="DP29" s="316">
        <f t="shared" si="169"/>
        <v>1</v>
      </c>
      <c r="DQ29" s="145">
        <v>5.35</v>
      </c>
      <c r="DR29" s="145">
        <v>5.42</v>
      </c>
      <c r="DS29" s="145">
        <v>5.42</v>
      </c>
      <c r="DT29" s="145">
        <v>5.44</v>
      </c>
      <c r="DU29" s="145">
        <v>5.55</v>
      </c>
      <c r="DV29" s="41">
        <v>5.53</v>
      </c>
      <c r="DW29" s="41">
        <v>1</v>
      </c>
      <c r="DX29" s="41">
        <v>1</v>
      </c>
      <c r="DY29" s="41">
        <v>1</v>
      </c>
      <c r="DZ29" s="41">
        <v>1</v>
      </c>
      <c r="EA29" s="41">
        <v>1</v>
      </c>
      <c r="EB29" s="41">
        <v>1</v>
      </c>
      <c r="EC29" s="41">
        <v>1</v>
      </c>
      <c r="ED29" s="41">
        <v>1</v>
      </c>
      <c r="EE29" s="41">
        <v>1</v>
      </c>
      <c r="EF29" s="40">
        <v>1</v>
      </c>
      <c r="EG29" s="40">
        <v>1</v>
      </c>
      <c r="EH29" s="40">
        <v>1</v>
      </c>
      <c r="EI29" s="40">
        <v>1</v>
      </c>
      <c r="EJ29" s="40">
        <v>1</v>
      </c>
      <c r="EK29" s="40">
        <v>1</v>
      </c>
      <c r="EL29" s="40">
        <v>1</v>
      </c>
      <c r="EM29" s="40">
        <v>1</v>
      </c>
      <c r="EN29" s="40">
        <v>1</v>
      </c>
      <c r="EO29" s="40">
        <v>1</v>
      </c>
      <c r="EP29" s="40">
        <v>1</v>
      </c>
      <c r="EQ29" s="40">
        <v>1</v>
      </c>
      <c r="ER29" s="40">
        <v>1</v>
      </c>
      <c r="ES29" s="40">
        <v>1</v>
      </c>
      <c r="ET29" s="40">
        <v>1</v>
      </c>
      <c r="EV29" s="145">
        <f t="shared" si="170"/>
        <v>1</v>
      </c>
      <c r="EW29" s="145">
        <v>4.1399999999999997</v>
      </c>
      <c r="EX29" s="145">
        <v>4.25</v>
      </c>
      <c r="EY29" s="145">
        <v>4.25</v>
      </c>
      <c r="EZ29" s="145">
        <v>4.2699999999999996</v>
      </c>
      <c r="FA29" s="145">
        <v>4.3600000000000003</v>
      </c>
      <c r="FB29" s="41">
        <v>4.34</v>
      </c>
      <c r="FC29" s="40">
        <v>1</v>
      </c>
      <c r="FD29" s="40">
        <v>1</v>
      </c>
      <c r="FE29" s="40">
        <v>1</v>
      </c>
      <c r="FF29" s="40">
        <v>1</v>
      </c>
      <c r="FG29" s="40">
        <v>1</v>
      </c>
      <c r="FH29" s="40">
        <v>1</v>
      </c>
      <c r="FI29" s="40">
        <v>1</v>
      </c>
      <c r="FJ29" s="40">
        <v>1</v>
      </c>
      <c r="FK29" s="40">
        <v>1</v>
      </c>
      <c r="FL29" s="40">
        <v>1</v>
      </c>
      <c r="FM29" s="40">
        <v>1</v>
      </c>
      <c r="FN29" s="40">
        <v>1</v>
      </c>
      <c r="FO29" s="40">
        <v>1</v>
      </c>
      <c r="FP29" s="40">
        <v>1</v>
      </c>
      <c r="FQ29" s="40">
        <v>1</v>
      </c>
      <c r="FR29" s="40">
        <v>1</v>
      </c>
      <c r="FS29" s="40">
        <v>1</v>
      </c>
      <c r="FT29" s="40">
        <v>1</v>
      </c>
      <c r="FU29" s="40">
        <v>1</v>
      </c>
      <c r="FV29" s="40">
        <v>1</v>
      </c>
      <c r="FW29" s="40">
        <v>1</v>
      </c>
      <c r="FX29" s="40">
        <v>1</v>
      </c>
      <c r="FY29" s="40">
        <v>1</v>
      </c>
      <c r="FZ29" s="40">
        <v>1</v>
      </c>
      <c r="GB29" s="316">
        <f t="shared" si="171"/>
        <v>1</v>
      </c>
      <c r="GC29" s="145">
        <v>11.83</v>
      </c>
      <c r="GD29" s="145">
        <v>12.04</v>
      </c>
      <c r="GE29" s="145">
        <v>12.04</v>
      </c>
      <c r="GF29" s="145">
        <v>12.09</v>
      </c>
      <c r="GG29" s="145">
        <v>12.34</v>
      </c>
      <c r="GH29" s="41">
        <v>12.29</v>
      </c>
      <c r="GI29" s="41">
        <v>1</v>
      </c>
      <c r="GJ29" s="41">
        <v>1</v>
      </c>
      <c r="GK29" s="41">
        <v>1</v>
      </c>
      <c r="GL29" s="41">
        <v>1</v>
      </c>
      <c r="GM29" s="41">
        <v>1</v>
      </c>
      <c r="GN29" s="41">
        <v>1</v>
      </c>
      <c r="GO29" s="41">
        <v>1</v>
      </c>
      <c r="GP29" s="41">
        <v>1</v>
      </c>
      <c r="GQ29" s="41">
        <v>1</v>
      </c>
      <c r="GR29" s="40">
        <v>1</v>
      </c>
      <c r="GS29" s="40">
        <v>1</v>
      </c>
      <c r="GT29" s="40">
        <v>1</v>
      </c>
      <c r="GU29" s="40">
        <v>1</v>
      </c>
      <c r="GV29" s="40">
        <v>1</v>
      </c>
      <c r="GW29" s="40">
        <v>1</v>
      </c>
      <c r="GX29" s="40">
        <v>1</v>
      </c>
      <c r="GY29" s="40">
        <v>1</v>
      </c>
      <c r="GZ29" s="40">
        <v>1</v>
      </c>
      <c r="HA29" s="40">
        <v>1</v>
      </c>
      <c r="HB29" s="40">
        <v>1</v>
      </c>
      <c r="HC29" s="40">
        <v>1</v>
      </c>
      <c r="HD29" s="40">
        <v>1</v>
      </c>
      <c r="HE29" s="40">
        <v>1</v>
      </c>
      <c r="HF29" s="40">
        <v>1</v>
      </c>
      <c r="HH29" s="373">
        <v>1</v>
      </c>
      <c r="HI29" s="218">
        <v>1</v>
      </c>
      <c r="HJ29" s="229">
        <v>1</v>
      </c>
      <c r="HK29" s="229">
        <v>1</v>
      </c>
      <c r="HM29" s="373">
        <f t="shared" si="173"/>
        <v>1</v>
      </c>
      <c r="HN29" s="145">
        <v>1</v>
      </c>
    </row>
    <row r="30" spans="1:247" ht="12.75" hidden="1" customHeight="1" x14ac:dyDescent="0.2">
      <c r="A30" s="373">
        <f t="shared" si="172"/>
        <v>26</v>
      </c>
      <c r="B30" s="149" t="s">
        <v>1250</v>
      </c>
      <c r="C30" s="150">
        <v>1.2669999999999999</v>
      </c>
      <c r="D30" s="150">
        <v>1.1080000000000001</v>
      </c>
      <c r="E30" s="150">
        <v>1.8959999999999999</v>
      </c>
      <c r="F30" s="150">
        <v>0.95699999999999996</v>
      </c>
      <c r="G30" s="150"/>
      <c r="H30" s="226">
        <f ca="1">OFFSET($HH30,0,'Расчет стоимости'!$M$10,1,1)</f>
        <v>1</v>
      </c>
      <c r="I30" s="150">
        <v>1</v>
      </c>
      <c r="J30" s="150">
        <v>1</v>
      </c>
      <c r="K30" s="149">
        <v>1</v>
      </c>
      <c r="L30" s="149">
        <v>1</v>
      </c>
      <c r="M30" s="372">
        <v>2.1000000000000001E-2</v>
      </c>
      <c r="N30" s="145">
        <v>1.9E-2</v>
      </c>
      <c r="O30" s="145">
        <v>0.01</v>
      </c>
      <c r="P30" s="145">
        <v>3.2000000000000001E-2</v>
      </c>
      <c r="Q30" s="145">
        <v>0</v>
      </c>
      <c r="R30" s="153" t="s">
        <v>234</v>
      </c>
      <c r="T30" s="225">
        <f t="shared" si="174"/>
        <v>1</v>
      </c>
      <c r="U30" s="225">
        <f t="shared" si="174"/>
        <v>1</v>
      </c>
      <c r="V30" s="225">
        <f t="shared" si="174"/>
        <v>1</v>
      </c>
      <c r="W30" s="225">
        <f t="shared" si="174"/>
        <v>1</v>
      </c>
      <c r="X30" s="265">
        <f t="shared" si="166"/>
        <v>1</v>
      </c>
      <c r="Y30" s="145">
        <v>6.49</v>
      </c>
      <c r="Z30" s="145">
        <v>6.58</v>
      </c>
      <c r="AA30" s="145">
        <v>6.58</v>
      </c>
      <c r="AB30" s="145">
        <v>6.61</v>
      </c>
      <c r="AC30" s="145">
        <v>6.75</v>
      </c>
      <c r="AD30" s="41">
        <v>6.72</v>
      </c>
      <c r="AE30" s="41">
        <v>1</v>
      </c>
      <c r="AF30" s="41">
        <v>1</v>
      </c>
      <c r="AG30" s="41">
        <v>1</v>
      </c>
      <c r="AH30" s="41">
        <v>1</v>
      </c>
      <c r="AI30" s="41">
        <v>1</v>
      </c>
      <c r="AJ30" s="41">
        <v>1</v>
      </c>
      <c r="AK30" s="41">
        <v>1</v>
      </c>
      <c r="AL30" s="41">
        <v>1</v>
      </c>
      <c r="AM30" s="41">
        <v>1</v>
      </c>
      <c r="AN30" s="40">
        <v>1</v>
      </c>
      <c r="AO30" s="40">
        <v>1</v>
      </c>
      <c r="AP30" s="40">
        <v>1</v>
      </c>
      <c r="AQ30" s="40">
        <v>1</v>
      </c>
      <c r="AR30" s="40">
        <v>1</v>
      </c>
      <c r="AS30" s="40">
        <v>1</v>
      </c>
      <c r="AT30" s="40">
        <v>1</v>
      </c>
      <c r="AU30" s="40">
        <v>1</v>
      </c>
      <c r="AV30" s="40">
        <v>1</v>
      </c>
      <c r="AW30" s="40">
        <v>1</v>
      </c>
      <c r="AX30" s="40">
        <v>1</v>
      </c>
      <c r="AY30" s="40">
        <v>1</v>
      </c>
      <c r="AZ30" s="40">
        <v>1</v>
      </c>
      <c r="BA30" s="40">
        <v>1</v>
      </c>
      <c r="BB30" s="40">
        <v>1</v>
      </c>
      <c r="BD30" s="316">
        <f t="shared" si="167"/>
        <v>1</v>
      </c>
      <c r="BE30" s="145">
        <v>3.86</v>
      </c>
      <c r="BF30" s="145">
        <v>3.96</v>
      </c>
      <c r="BG30" s="145">
        <v>3.96</v>
      </c>
      <c r="BH30" s="145">
        <v>3.98</v>
      </c>
      <c r="BI30" s="145">
        <v>4.0599999999999996</v>
      </c>
      <c r="BJ30" s="41">
        <v>4.04</v>
      </c>
      <c r="BK30" s="41">
        <v>1</v>
      </c>
      <c r="BL30" s="41">
        <v>1</v>
      </c>
      <c r="BM30" s="41">
        <v>1</v>
      </c>
      <c r="BN30" s="41">
        <v>1</v>
      </c>
      <c r="BO30" s="41">
        <v>1</v>
      </c>
      <c r="BP30" s="41">
        <v>1</v>
      </c>
      <c r="BQ30" s="41">
        <v>1</v>
      </c>
      <c r="BR30" s="41">
        <v>1</v>
      </c>
      <c r="BS30" s="41">
        <v>1</v>
      </c>
      <c r="BT30" s="40">
        <v>1</v>
      </c>
      <c r="BU30" s="40">
        <v>1</v>
      </c>
      <c r="BV30" s="40">
        <v>1</v>
      </c>
      <c r="BW30" s="40">
        <v>1</v>
      </c>
      <c r="BX30" s="40">
        <v>1</v>
      </c>
      <c r="BY30" s="40">
        <v>1</v>
      </c>
      <c r="BZ30" s="40">
        <v>1</v>
      </c>
      <c r="CA30" s="40">
        <v>1</v>
      </c>
      <c r="CB30" s="40">
        <v>1</v>
      </c>
      <c r="CC30" s="40">
        <v>1</v>
      </c>
      <c r="CD30" s="40">
        <v>1</v>
      </c>
      <c r="CE30" s="40">
        <v>1</v>
      </c>
      <c r="CF30" s="40">
        <v>1</v>
      </c>
      <c r="CG30" s="40">
        <v>1</v>
      </c>
      <c r="CH30" s="40">
        <v>1</v>
      </c>
      <c r="CJ30" s="145">
        <f t="shared" si="168"/>
        <v>1</v>
      </c>
      <c r="CK30" s="145">
        <v>4.63</v>
      </c>
      <c r="CL30" s="145">
        <v>4.76</v>
      </c>
      <c r="CM30" s="145">
        <v>4.76</v>
      </c>
      <c r="CN30" s="145">
        <v>4.78</v>
      </c>
      <c r="CO30" s="145">
        <v>4.75</v>
      </c>
      <c r="CP30" s="41">
        <v>4.7300000000000004</v>
      </c>
      <c r="CQ30" s="40">
        <v>1</v>
      </c>
      <c r="CR30" s="40">
        <v>1</v>
      </c>
      <c r="CS30" s="40">
        <v>1</v>
      </c>
      <c r="CT30" s="40">
        <v>1</v>
      </c>
      <c r="CU30" s="40">
        <v>1</v>
      </c>
      <c r="CV30" s="40">
        <v>1</v>
      </c>
      <c r="CW30" s="40">
        <v>1</v>
      </c>
      <c r="CX30" s="40">
        <v>1</v>
      </c>
      <c r="CY30" s="40">
        <v>1</v>
      </c>
      <c r="CZ30" s="40">
        <v>1</v>
      </c>
      <c r="DA30" s="40">
        <v>1</v>
      </c>
      <c r="DB30" s="40">
        <v>1</v>
      </c>
      <c r="DC30" s="40">
        <v>1</v>
      </c>
      <c r="DD30" s="40">
        <v>1</v>
      </c>
      <c r="DE30" s="40">
        <v>1</v>
      </c>
      <c r="DF30" s="40">
        <v>1</v>
      </c>
      <c r="DG30" s="40">
        <v>1</v>
      </c>
      <c r="DH30" s="40">
        <v>1</v>
      </c>
      <c r="DI30" s="40">
        <v>1</v>
      </c>
      <c r="DJ30" s="40">
        <v>1</v>
      </c>
      <c r="DK30" s="40">
        <v>1</v>
      </c>
      <c r="DL30" s="40">
        <v>1</v>
      </c>
      <c r="DM30" s="40">
        <v>1</v>
      </c>
      <c r="DN30" s="40">
        <v>1</v>
      </c>
      <c r="DP30" s="316">
        <f t="shared" si="169"/>
        <v>1</v>
      </c>
      <c r="DQ30" s="145">
        <v>5.04</v>
      </c>
      <c r="DR30" s="145">
        <v>5.17</v>
      </c>
      <c r="DS30" s="145">
        <v>5.17</v>
      </c>
      <c r="DT30" s="145">
        <v>5.19</v>
      </c>
      <c r="DU30" s="145">
        <v>5.3</v>
      </c>
      <c r="DV30" s="41">
        <v>5.28</v>
      </c>
      <c r="DW30" s="41">
        <v>1</v>
      </c>
      <c r="DX30" s="41">
        <v>1</v>
      </c>
      <c r="DY30" s="41">
        <v>1</v>
      </c>
      <c r="DZ30" s="41">
        <v>1</v>
      </c>
      <c r="EA30" s="41">
        <v>1</v>
      </c>
      <c r="EB30" s="41">
        <v>1</v>
      </c>
      <c r="EC30" s="41">
        <v>1</v>
      </c>
      <c r="ED30" s="41">
        <v>1</v>
      </c>
      <c r="EE30" s="41">
        <v>1</v>
      </c>
      <c r="EF30" s="40">
        <v>1</v>
      </c>
      <c r="EG30" s="40">
        <v>1</v>
      </c>
      <c r="EH30" s="40">
        <v>1</v>
      </c>
      <c r="EI30" s="40">
        <v>1</v>
      </c>
      <c r="EJ30" s="40">
        <v>1</v>
      </c>
      <c r="EK30" s="40">
        <v>1</v>
      </c>
      <c r="EL30" s="40">
        <v>1</v>
      </c>
      <c r="EM30" s="40">
        <v>1</v>
      </c>
      <c r="EN30" s="40">
        <v>1</v>
      </c>
      <c r="EO30" s="40">
        <v>1</v>
      </c>
      <c r="EP30" s="40">
        <v>1</v>
      </c>
      <c r="EQ30" s="40">
        <v>1</v>
      </c>
      <c r="ER30" s="40">
        <v>1</v>
      </c>
      <c r="ES30" s="40">
        <v>1</v>
      </c>
      <c r="ET30" s="40">
        <v>1</v>
      </c>
      <c r="EV30" s="145">
        <f t="shared" si="170"/>
        <v>1</v>
      </c>
      <c r="EW30" s="145">
        <v>5.28</v>
      </c>
      <c r="EX30" s="145">
        <v>5.41</v>
      </c>
      <c r="EY30" s="145">
        <v>5.41</v>
      </c>
      <c r="EZ30" s="145">
        <v>5.34</v>
      </c>
      <c r="FA30" s="145">
        <v>5.19</v>
      </c>
      <c r="FB30" s="41">
        <v>5.17</v>
      </c>
      <c r="FC30" s="40">
        <v>1</v>
      </c>
      <c r="FD30" s="40">
        <v>1</v>
      </c>
      <c r="FE30" s="40">
        <v>1</v>
      </c>
      <c r="FF30" s="40">
        <v>1</v>
      </c>
      <c r="FG30" s="40">
        <v>1</v>
      </c>
      <c r="FH30" s="40">
        <v>1</v>
      </c>
      <c r="FI30" s="40">
        <v>1</v>
      </c>
      <c r="FJ30" s="40">
        <v>1</v>
      </c>
      <c r="FK30" s="40">
        <v>1</v>
      </c>
      <c r="FL30" s="40">
        <v>1</v>
      </c>
      <c r="FM30" s="40">
        <v>1</v>
      </c>
      <c r="FN30" s="40">
        <v>1</v>
      </c>
      <c r="FO30" s="40">
        <v>1</v>
      </c>
      <c r="FP30" s="40">
        <v>1</v>
      </c>
      <c r="FQ30" s="40">
        <v>1</v>
      </c>
      <c r="FR30" s="40">
        <v>1</v>
      </c>
      <c r="FS30" s="40">
        <v>1</v>
      </c>
      <c r="FT30" s="40">
        <v>1</v>
      </c>
      <c r="FU30" s="40">
        <v>1</v>
      </c>
      <c r="FV30" s="40">
        <v>1</v>
      </c>
      <c r="FW30" s="40">
        <v>1</v>
      </c>
      <c r="FX30" s="40">
        <v>1</v>
      </c>
      <c r="FY30" s="40">
        <v>1</v>
      </c>
      <c r="FZ30" s="40">
        <v>1</v>
      </c>
      <c r="GB30" s="316">
        <f t="shared" si="171"/>
        <v>1</v>
      </c>
      <c r="GC30" s="145">
        <v>13.51</v>
      </c>
      <c r="GD30" s="145">
        <v>13.87</v>
      </c>
      <c r="GE30" s="145">
        <v>13.87</v>
      </c>
      <c r="GF30" s="145">
        <v>13.93</v>
      </c>
      <c r="GG30" s="145">
        <v>14.22</v>
      </c>
      <c r="GH30" s="41">
        <v>14.16</v>
      </c>
      <c r="GI30" s="41">
        <v>1</v>
      </c>
      <c r="GJ30" s="41">
        <v>1</v>
      </c>
      <c r="GK30" s="41">
        <v>1</v>
      </c>
      <c r="GL30" s="41">
        <v>1</v>
      </c>
      <c r="GM30" s="41">
        <v>1</v>
      </c>
      <c r="GN30" s="41">
        <v>1</v>
      </c>
      <c r="GO30" s="41">
        <v>1</v>
      </c>
      <c r="GP30" s="41">
        <v>1</v>
      </c>
      <c r="GQ30" s="41">
        <v>1</v>
      </c>
      <c r="GR30" s="40">
        <v>1</v>
      </c>
      <c r="GS30" s="40">
        <v>1</v>
      </c>
      <c r="GT30" s="40">
        <v>1</v>
      </c>
      <c r="GU30" s="40">
        <v>1</v>
      </c>
      <c r="GV30" s="40">
        <v>1</v>
      </c>
      <c r="GW30" s="40">
        <v>1</v>
      </c>
      <c r="GX30" s="40">
        <v>1</v>
      </c>
      <c r="GY30" s="40">
        <v>1</v>
      </c>
      <c r="GZ30" s="40">
        <v>1</v>
      </c>
      <c r="HA30" s="40">
        <v>1</v>
      </c>
      <c r="HB30" s="40">
        <v>1</v>
      </c>
      <c r="HC30" s="40">
        <v>1</v>
      </c>
      <c r="HD30" s="40">
        <v>1</v>
      </c>
      <c r="HE30" s="40">
        <v>1</v>
      </c>
      <c r="HF30" s="40">
        <v>1</v>
      </c>
      <c r="HH30" s="373">
        <v>1</v>
      </c>
      <c r="HI30" s="218">
        <v>1</v>
      </c>
      <c r="HJ30" s="229">
        <v>1</v>
      </c>
      <c r="HK30" s="229">
        <v>1</v>
      </c>
      <c r="HM30" s="373">
        <f t="shared" si="173"/>
        <v>1</v>
      </c>
      <c r="HN30" s="145">
        <v>1</v>
      </c>
    </row>
    <row r="31" spans="1:247" s="326" customFormat="1" ht="12.75" customHeight="1" x14ac:dyDescent="0.2">
      <c r="A31" s="321">
        <f t="shared" si="172"/>
        <v>27</v>
      </c>
      <c r="B31" s="322" t="s">
        <v>122</v>
      </c>
      <c r="C31" s="323">
        <v>1.657</v>
      </c>
      <c r="D31" s="323">
        <v>1.6120000000000001</v>
      </c>
      <c r="E31" s="323">
        <v>1.9570000000000001</v>
      </c>
      <c r="F31" s="323">
        <v>1.1359999999999999</v>
      </c>
      <c r="G31" s="323"/>
      <c r="H31" s="324">
        <f ca="1">OFFSET($HH31,0,'Расчет стоимости'!$M$10,1,1)</f>
        <v>1.0900000000000001</v>
      </c>
      <c r="I31" s="323">
        <v>1</v>
      </c>
      <c r="J31" s="323">
        <v>1</v>
      </c>
      <c r="K31" s="322">
        <v>1</v>
      </c>
      <c r="L31" s="322">
        <v>1</v>
      </c>
      <c r="M31" s="325">
        <v>7.0000000000000007E-2</v>
      </c>
      <c r="N31" s="326">
        <v>6.0999999999999999E-2</v>
      </c>
      <c r="O31" s="326">
        <v>2.7000000000000003E-2</v>
      </c>
      <c r="P31" s="326">
        <v>9.3000000000000013E-2</v>
      </c>
      <c r="Q31" s="326">
        <v>6.0000000000000001E-3</v>
      </c>
      <c r="R31" s="327" t="s">
        <v>240</v>
      </c>
      <c r="S31" s="326" t="s">
        <v>265</v>
      </c>
      <c r="T31" s="328">
        <f t="shared" si="174"/>
        <v>1</v>
      </c>
      <c r="U31" s="328">
        <f t="shared" si="174"/>
        <v>1</v>
      </c>
      <c r="V31" s="328">
        <f t="shared" si="174"/>
        <v>1</v>
      </c>
      <c r="W31" s="328">
        <f t="shared" si="174"/>
        <v>1</v>
      </c>
      <c r="X31" s="326">
        <f t="shared" si="166"/>
        <v>1</v>
      </c>
      <c r="Y31" s="326">
        <v>5.98</v>
      </c>
      <c r="Z31" s="326">
        <v>5.85</v>
      </c>
      <c r="AA31" s="326">
        <v>5.85</v>
      </c>
      <c r="AB31" s="326">
        <v>5.79</v>
      </c>
      <c r="AC31" s="326">
        <v>5.83</v>
      </c>
      <c r="AD31" s="326">
        <v>5.81</v>
      </c>
      <c r="AE31" s="326">
        <v>5.84</v>
      </c>
      <c r="AF31" s="326">
        <v>5.84</v>
      </c>
      <c r="AG31" s="326">
        <v>6.04</v>
      </c>
      <c r="AH31" s="326">
        <v>6.14</v>
      </c>
      <c r="AI31" s="326">
        <v>6.18</v>
      </c>
      <c r="AJ31" s="326">
        <v>6.18</v>
      </c>
      <c r="AK31" s="326">
        <v>6.28</v>
      </c>
      <c r="AL31" s="326">
        <v>6.37</v>
      </c>
      <c r="AM31" s="326">
        <v>6.39</v>
      </c>
      <c r="AN31" s="329">
        <v>6.43</v>
      </c>
      <c r="AO31" s="329">
        <v>1</v>
      </c>
      <c r="AP31" s="329">
        <v>1</v>
      </c>
      <c r="AQ31" s="329">
        <v>1</v>
      </c>
      <c r="AR31" s="329">
        <v>1</v>
      </c>
      <c r="AS31" s="329">
        <v>1</v>
      </c>
      <c r="AT31" s="329">
        <v>1</v>
      </c>
      <c r="AU31" s="329">
        <v>1</v>
      </c>
      <c r="AV31" s="329">
        <v>1</v>
      </c>
      <c r="AW31" s="329">
        <v>1</v>
      </c>
      <c r="AX31" s="329">
        <v>1</v>
      </c>
      <c r="AY31" s="329">
        <v>1</v>
      </c>
      <c r="AZ31" s="329">
        <v>1</v>
      </c>
      <c r="BA31" s="329">
        <v>1</v>
      </c>
      <c r="BB31" s="329">
        <v>1</v>
      </c>
      <c r="BD31" s="326">
        <f t="shared" si="167"/>
        <v>1</v>
      </c>
      <c r="BE31" s="326">
        <v>4.4000000000000004</v>
      </c>
      <c r="BF31" s="326">
        <v>4.46</v>
      </c>
      <c r="BG31" s="326">
        <v>4.46</v>
      </c>
      <c r="BH31" s="326">
        <v>4.4800000000000004</v>
      </c>
      <c r="BI31" s="326">
        <v>4.54</v>
      </c>
      <c r="BJ31" s="326">
        <v>4.5199999999999996</v>
      </c>
      <c r="BK31" s="326">
        <v>4.54</v>
      </c>
      <c r="BL31" s="326">
        <v>4.54</v>
      </c>
      <c r="BM31" s="326">
        <v>4.7</v>
      </c>
      <c r="BN31" s="326">
        <v>4.78</v>
      </c>
      <c r="BO31" s="326">
        <v>4.8099999999999996</v>
      </c>
      <c r="BP31" s="326">
        <v>4.8099999999999996</v>
      </c>
      <c r="BQ31" s="326">
        <v>4.8899999999999997</v>
      </c>
      <c r="BR31" s="326">
        <v>4.96</v>
      </c>
      <c r="BS31" s="326">
        <v>4.9800000000000004</v>
      </c>
      <c r="BT31" s="329">
        <v>5.01</v>
      </c>
      <c r="BU31" s="329">
        <v>1</v>
      </c>
      <c r="BV31" s="329">
        <v>1</v>
      </c>
      <c r="BW31" s="329">
        <v>1</v>
      </c>
      <c r="BX31" s="329">
        <v>1</v>
      </c>
      <c r="BY31" s="329">
        <v>1</v>
      </c>
      <c r="BZ31" s="329">
        <v>1</v>
      </c>
      <c r="CA31" s="329">
        <v>1</v>
      </c>
      <c r="CB31" s="329">
        <v>1</v>
      </c>
      <c r="CC31" s="329">
        <v>1</v>
      </c>
      <c r="CD31" s="329">
        <v>1</v>
      </c>
      <c r="CE31" s="329">
        <v>1</v>
      </c>
      <c r="CF31" s="329">
        <v>1</v>
      </c>
      <c r="CG31" s="329">
        <v>1</v>
      </c>
      <c r="CH31" s="329">
        <v>1</v>
      </c>
      <c r="CJ31" s="326">
        <f t="shared" si="168"/>
        <v>1</v>
      </c>
      <c r="CK31" s="326">
        <v>5.51</v>
      </c>
      <c r="CL31" s="326">
        <v>5.58</v>
      </c>
      <c r="CM31" s="326">
        <v>5.58</v>
      </c>
      <c r="CN31" s="326">
        <v>5.57</v>
      </c>
      <c r="CO31" s="326">
        <v>5.68</v>
      </c>
      <c r="CP31" s="326">
        <v>5.57</v>
      </c>
      <c r="CQ31" s="329">
        <v>1</v>
      </c>
      <c r="CR31" s="329">
        <v>1</v>
      </c>
      <c r="CS31" s="329">
        <v>1</v>
      </c>
      <c r="CT31" s="329">
        <v>1</v>
      </c>
      <c r="CU31" s="329">
        <v>1</v>
      </c>
      <c r="CV31" s="329">
        <v>1</v>
      </c>
      <c r="CW31" s="329">
        <v>1</v>
      </c>
      <c r="CX31" s="329">
        <v>1</v>
      </c>
      <c r="CY31" s="329">
        <v>1</v>
      </c>
      <c r="CZ31" s="329">
        <v>1</v>
      </c>
      <c r="DA31" s="329">
        <v>1</v>
      </c>
      <c r="DB31" s="329">
        <v>1</v>
      </c>
      <c r="DC31" s="329">
        <v>1</v>
      </c>
      <c r="DD31" s="329">
        <v>1</v>
      </c>
      <c r="DE31" s="329">
        <v>1</v>
      </c>
      <c r="DF31" s="329">
        <v>1</v>
      </c>
      <c r="DG31" s="329">
        <v>1</v>
      </c>
      <c r="DH31" s="329">
        <v>1</v>
      </c>
      <c r="DI31" s="329">
        <v>1</v>
      </c>
      <c r="DJ31" s="329">
        <v>1</v>
      </c>
      <c r="DK31" s="329">
        <v>1</v>
      </c>
      <c r="DL31" s="329">
        <v>1</v>
      </c>
      <c r="DM31" s="329">
        <v>1</v>
      </c>
      <c r="DN31" s="329">
        <v>1</v>
      </c>
      <c r="DP31" s="326">
        <f t="shared" si="169"/>
        <v>1</v>
      </c>
      <c r="DQ31" s="326">
        <v>5.0199999999999996</v>
      </c>
      <c r="DR31" s="326">
        <v>5.03</v>
      </c>
      <c r="DS31" s="326">
        <v>5.03</v>
      </c>
      <c r="DT31" s="326">
        <v>5.04</v>
      </c>
      <c r="DU31" s="326">
        <v>5.1100000000000003</v>
      </c>
      <c r="DV31" s="326">
        <v>5.09</v>
      </c>
      <c r="DW31" s="326">
        <v>5.12</v>
      </c>
      <c r="DX31" s="326">
        <v>5.12</v>
      </c>
      <c r="DY31" s="326">
        <v>5.3</v>
      </c>
      <c r="DZ31" s="326">
        <v>5.39</v>
      </c>
      <c r="EA31" s="326">
        <v>5.43</v>
      </c>
      <c r="EB31" s="326">
        <v>5.43</v>
      </c>
      <c r="EC31" s="326">
        <v>5.52</v>
      </c>
      <c r="ED31" s="326">
        <v>5.6</v>
      </c>
      <c r="EE31" s="326">
        <v>5.62</v>
      </c>
      <c r="EF31" s="329">
        <v>5.65</v>
      </c>
      <c r="EG31" s="329">
        <v>1</v>
      </c>
      <c r="EH31" s="329">
        <v>1</v>
      </c>
      <c r="EI31" s="329">
        <v>1</v>
      </c>
      <c r="EJ31" s="329">
        <v>1</v>
      </c>
      <c r="EK31" s="329">
        <v>1</v>
      </c>
      <c r="EL31" s="329">
        <v>1</v>
      </c>
      <c r="EM31" s="329">
        <v>1</v>
      </c>
      <c r="EN31" s="329">
        <v>1</v>
      </c>
      <c r="EO31" s="329">
        <v>1</v>
      </c>
      <c r="EP31" s="329">
        <v>1</v>
      </c>
      <c r="EQ31" s="329">
        <v>1</v>
      </c>
      <c r="ER31" s="329">
        <v>1</v>
      </c>
      <c r="ES31" s="329">
        <v>1</v>
      </c>
      <c r="ET31" s="329">
        <v>1</v>
      </c>
      <c r="EV31" s="326">
        <f t="shared" si="170"/>
        <v>1</v>
      </c>
      <c r="EW31" s="326">
        <v>6.99</v>
      </c>
      <c r="EX31" s="326">
        <v>6.94</v>
      </c>
      <c r="EY31" s="326">
        <v>6.94</v>
      </c>
      <c r="EZ31" s="326">
        <v>6.95</v>
      </c>
      <c r="FA31" s="326">
        <v>6.99</v>
      </c>
      <c r="FB31" s="326">
        <v>6.96</v>
      </c>
      <c r="FC31" s="329">
        <v>1</v>
      </c>
      <c r="FD31" s="329">
        <v>1</v>
      </c>
      <c r="FE31" s="329">
        <v>1</v>
      </c>
      <c r="FF31" s="329">
        <v>1</v>
      </c>
      <c r="FG31" s="329">
        <v>1</v>
      </c>
      <c r="FH31" s="329">
        <v>1</v>
      </c>
      <c r="FI31" s="329">
        <v>1</v>
      </c>
      <c r="FJ31" s="329">
        <v>1</v>
      </c>
      <c r="FK31" s="329">
        <v>1</v>
      </c>
      <c r="FL31" s="329">
        <v>1</v>
      </c>
      <c r="FM31" s="329">
        <v>1</v>
      </c>
      <c r="FN31" s="329">
        <v>1</v>
      </c>
      <c r="FO31" s="329">
        <v>1</v>
      </c>
      <c r="FP31" s="329">
        <v>1</v>
      </c>
      <c r="FQ31" s="329">
        <v>1</v>
      </c>
      <c r="FR31" s="329">
        <v>1</v>
      </c>
      <c r="FS31" s="329">
        <v>1</v>
      </c>
      <c r="FT31" s="329">
        <v>1</v>
      </c>
      <c r="FU31" s="329">
        <v>1</v>
      </c>
      <c r="FV31" s="329">
        <v>1</v>
      </c>
      <c r="FW31" s="329">
        <v>1</v>
      </c>
      <c r="FX31" s="329">
        <v>1</v>
      </c>
      <c r="FY31" s="329">
        <v>1</v>
      </c>
      <c r="FZ31" s="329">
        <v>1</v>
      </c>
      <c r="GB31" s="326">
        <f t="shared" si="171"/>
        <v>1</v>
      </c>
      <c r="GC31" s="326">
        <v>9.07</v>
      </c>
      <c r="GD31" s="326">
        <v>9.27</v>
      </c>
      <c r="GE31" s="326">
        <v>9.27</v>
      </c>
      <c r="GF31" s="326">
        <v>9.31</v>
      </c>
      <c r="GG31" s="326">
        <v>9.51</v>
      </c>
      <c r="GH31" s="326">
        <v>9.4700000000000006</v>
      </c>
      <c r="GI31" s="326">
        <v>9.52</v>
      </c>
      <c r="GJ31" s="326">
        <v>9.52</v>
      </c>
      <c r="GK31" s="326">
        <v>9.85</v>
      </c>
      <c r="GL31" s="326">
        <v>10.029999999999999</v>
      </c>
      <c r="GM31" s="326">
        <v>10.1</v>
      </c>
      <c r="GN31" s="326">
        <v>10.1</v>
      </c>
      <c r="GO31" s="326">
        <v>10.26</v>
      </c>
      <c r="GP31" s="326">
        <v>10.4</v>
      </c>
      <c r="GQ31" s="326">
        <v>10.45</v>
      </c>
      <c r="GR31" s="329">
        <v>10.51</v>
      </c>
      <c r="GS31" s="329">
        <v>1</v>
      </c>
      <c r="GT31" s="329">
        <v>1</v>
      </c>
      <c r="GU31" s="329">
        <v>1</v>
      </c>
      <c r="GV31" s="329">
        <v>1</v>
      </c>
      <c r="GW31" s="329">
        <v>1</v>
      </c>
      <c r="GX31" s="329">
        <v>1</v>
      </c>
      <c r="GY31" s="329">
        <v>1</v>
      </c>
      <c r="GZ31" s="329">
        <v>1</v>
      </c>
      <c r="HA31" s="329">
        <v>1</v>
      </c>
      <c r="HB31" s="329">
        <v>1</v>
      </c>
      <c r="HC31" s="329">
        <v>1</v>
      </c>
      <c r="HD31" s="329">
        <v>1</v>
      </c>
      <c r="HE31" s="329">
        <v>1</v>
      </c>
      <c r="HF31" s="329">
        <v>1</v>
      </c>
      <c r="HH31" s="321">
        <v>1</v>
      </c>
      <c r="HI31" s="330">
        <v>1.0900000000000001</v>
      </c>
      <c r="HJ31" s="330">
        <v>1.0900000000000001</v>
      </c>
      <c r="HK31" s="330">
        <v>1.0900000000000001</v>
      </c>
      <c r="HM31" s="321">
        <f t="shared" si="173"/>
        <v>1</v>
      </c>
      <c r="HN31" s="326">
        <v>1</v>
      </c>
    </row>
    <row r="32" spans="1:247" s="345" customFormat="1" x14ac:dyDescent="0.2">
      <c r="A32" s="340">
        <f t="shared" si="172"/>
        <v>28</v>
      </c>
      <c r="B32" s="341" t="s">
        <v>124</v>
      </c>
      <c r="C32" s="342">
        <v>1.17</v>
      </c>
      <c r="D32" s="342">
        <v>1.0760000000000001</v>
      </c>
      <c r="E32" s="342">
        <v>1.516</v>
      </c>
      <c r="F32" s="342">
        <v>1.0780000000000001</v>
      </c>
      <c r="G32" s="342"/>
      <c r="H32" s="343">
        <f ca="1">OFFSET($HH32,0,'Расчет стоимости'!$M$10,1,1)</f>
        <v>1</v>
      </c>
      <c r="I32" s="342">
        <v>1</v>
      </c>
      <c r="J32" s="342">
        <v>1</v>
      </c>
      <c r="K32" s="341">
        <v>1</v>
      </c>
      <c r="L32" s="341">
        <v>1</v>
      </c>
      <c r="M32" s="344">
        <v>2.1000000000000001E-2</v>
      </c>
      <c r="N32" s="345">
        <v>1.9E-2</v>
      </c>
      <c r="O32" s="345">
        <v>0.01</v>
      </c>
      <c r="P32" s="345">
        <v>3.2000000000000001E-2</v>
      </c>
      <c r="Q32" s="345">
        <v>0</v>
      </c>
      <c r="R32" s="346" t="s">
        <v>234</v>
      </c>
      <c r="T32" s="346">
        <f t="shared" si="174"/>
        <v>1</v>
      </c>
      <c r="U32" s="346">
        <f t="shared" si="174"/>
        <v>1</v>
      </c>
      <c r="V32" s="346">
        <f t="shared" si="174"/>
        <v>1</v>
      </c>
      <c r="W32" s="346">
        <f t="shared" si="174"/>
        <v>1</v>
      </c>
      <c r="X32" s="345">
        <f t="shared" si="166"/>
        <v>1</v>
      </c>
      <c r="Y32" s="345">
        <v>5.82</v>
      </c>
      <c r="Z32" s="345">
        <v>5.87</v>
      </c>
      <c r="AA32" s="345">
        <v>5.87</v>
      </c>
      <c r="AB32" s="345">
        <v>5.89</v>
      </c>
      <c r="AC32" s="345">
        <v>6.01</v>
      </c>
      <c r="AD32" s="345">
        <v>5.99</v>
      </c>
      <c r="AE32" s="345">
        <v>6.02</v>
      </c>
      <c r="AF32" s="345">
        <v>6.02</v>
      </c>
      <c r="AG32" s="345">
        <v>6.16</v>
      </c>
      <c r="AH32" s="345">
        <v>6.22</v>
      </c>
      <c r="AI32" s="345">
        <v>6.26</v>
      </c>
      <c r="AJ32" s="345">
        <v>6.26</v>
      </c>
      <c r="AK32" s="345">
        <v>6.36</v>
      </c>
      <c r="AL32" s="345">
        <v>6.45</v>
      </c>
      <c r="AM32" s="345">
        <v>6.47</v>
      </c>
      <c r="AN32" s="347">
        <v>6.51</v>
      </c>
      <c r="AO32" s="347">
        <v>1</v>
      </c>
      <c r="AP32" s="347">
        <v>1</v>
      </c>
      <c r="AQ32" s="347">
        <v>1</v>
      </c>
      <c r="AR32" s="347">
        <v>1</v>
      </c>
      <c r="AS32" s="347">
        <v>1</v>
      </c>
      <c r="AT32" s="347">
        <v>1</v>
      </c>
      <c r="AU32" s="347">
        <v>1</v>
      </c>
      <c r="AV32" s="347">
        <v>1</v>
      </c>
      <c r="AW32" s="347">
        <v>1</v>
      </c>
      <c r="AX32" s="347">
        <v>1</v>
      </c>
      <c r="AY32" s="347">
        <v>1</v>
      </c>
      <c r="AZ32" s="347">
        <v>1</v>
      </c>
      <c r="BA32" s="347">
        <v>1</v>
      </c>
      <c r="BB32" s="347">
        <v>1</v>
      </c>
      <c r="BD32" s="345">
        <f t="shared" si="167"/>
        <v>1</v>
      </c>
      <c r="BE32" s="345">
        <v>3.68</v>
      </c>
      <c r="BF32" s="345">
        <v>3.78</v>
      </c>
      <c r="BG32" s="345">
        <v>3.78</v>
      </c>
      <c r="BH32" s="345">
        <v>3.8</v>
      </c>
      <c r="BI32" s="345">
        <v>3.88</v>
      </c>
      <c r="BJ32" s="345">
        <v>3.86</v>
      </c>
      <c r="BK32" s="345">
        <v>3.88</v>
      </c>
      <c r="BL32" s="345">
        <v>3.88</v>
      </c>
      <c r="BM32" s="345">
        <v>4.0199999999999996</v>
      </c>
      <c r="BN32" s="345">
        <v>4.09</v>
      </c>
      <c r="BO32" s="345">
        <v>4.12</v>
      </c>
      <c r="BP32" s="345">
        <v>4.12</v>
      </c>
      <c r="BQ32" s="345">
        <v>4.1900000000000004</v>
      </c>
      <c r="BR32" s="345">
        <v>4.18</v>
      </c>
      <c r="BS32" s="345">
        <v>4.1500000000000004</v>
      </c>
      <c r="BT32" s="347">
        <v>4.17</v>
      </c>
      <c r="BU32" s="347">
        <v>1</v>
      </c>
      <c r="BV32" s="347">
        <v>1</v>
      </c>
      <c r="BW32" s="347">
        <v>1</v>
      </c>
      <c r="BX32" s="347">
        <v>1</v>
      </c>
      <c r="BY32" s="347">
        <v>1</v>
      </c>
      <c r="BZ32" s="347">
        <v>1</v>
      </c>
      <c r="CA32" s="347">
        <v>1</v>
      </c>
      <c r="CB32" s="347">
        <v>1</v>
      </c>
      <c r="CC32" s="347">
        <v>1</v>
      </c>
      <c r="CD32" s="347">
        <v>1</v>
      </c>
      <c r="CE32" s="347">
        <v>1</v>
      </c>
      <c r="CF32" s="347">
        <v>1</v>
      </c>
      <c r="CG32" s="347">
        <v>1</v>
      </c>
      <c r="CH32" s="347">
        <v>1</v>
      </c>
      <c r="CJ32" s="345">
        <f t="shared" si="168"/>
        <v>1</v>
      </c>
      <c r="CK32" s="345">
        <v>4.17</v>
      </c>
      <c r="CL32" s="345">
        <v>4.28</v>
      </c>
      <c r="CM32" s="345">
        <v>4.28</v>
      </c>
      <c r="CN32" s="345">
        <v>4.3</v>
      </c>
      <c r="CO32" s="345">
        <v>4.3899999999999997</v>
      </c>
      <c r="CP32" s="345">
        <v>4.37</v>
      </c>
      <c r="CQ32" s="347">
        <v>1</v>
      </c>
      <c r="CR32" s="347">
        <v>1</v>
      </c>
      <c r="CS32" s="347">
        <v>1</v>
      </c>
      <c r="CT32" s="347">
        <v>1</v>
      </c>
      <c r="CU32" s="347">
        <v>1</v>
      </c>
      <c r="CV32" s="347">
        <v>1</v>
      </c>
      <c r="CW32" s="347">
        <v>1</v>
      </c>
      <c r="CX32" s="347">
        <v>1</v>
      </c>
      <c r="CY32" s="347">
        <v>1</v>
      </c>
      <c r="CZ32" s="347">
        <v>1</v>
      </c>
      <c r="DA32" s="347">
        <v>1</v>
      </c>
      <c r="DB32" s="347">
        <v>1</v>
      </c>
      <c r="DC32" s="347">
        <v>1</v>
      </c>
      <c r="DD32" s="347">
        <v>1</v>
      </c>
      <c r="DE32" s="347">
        <v>1</v>
      </c>
      <c r="DF32" s="347">
        <v>1</v>
      </c>
      <c r="DG32" s="347">
        <v>1</v>
      </c>
      <c r="DH32" s="347">
        <v>1</v>
      </c>
      <c r="DI32" s="347">
        <v>1</v>
      </c>
      <c r="DJ32" s="347">
        <v>1</v>
      </c>
      <c r="DK32" s="347">
        <v>1</v>
      </c>
      <c r="DL32" s="347">
        <v>1</v>
      </c>
      <c r="DM32" s="347">
        <v>1</v>
      </c>
      <c r="DN32" s="347">
        <v>1</v>
      </c>
      <c r="DP32" s="345">
        <f t="shared" si="169"/>
        <v>1</v>
      </c>
      <c r="DQ32" s="345">
        <v>4.1500000000000004</v>
      </c>
      <c r="DR32" s="345">
        <v>4.26</v>
      </c>
      <c r="DS32" s="345">
        <v>4.26</v>
      </c>
      <c r="DT32" s="345">
        <v>4.28</v>
      </c>
      <c r="DU32" s="345">
        <v>4.37</v>
      </c>
      <c r="DV32" s="345">
        <v>4.3499999999999996</v>
      </c>
      <c r="DW32" s="345">
        <v>4.37</v>
      </c>
      <c r="DX32" s="345">
        <v>4.37</v>
      </c>
      <c r="DY32" s="345">
        <v>4.5199999999999996</v>
      </c>
      <c r="DZ32" s="345">
        <v>4.5999999999999996</v>
      </c>
      <c r="EA32" s="345">
        <v>4.63</v>
      </c>
      <c r="EB32" s="345">
        <v>4.63</v>
      </c>
      <c r="EC32" s="345">
        <v>4.7</v>
      </c>
      <c r="ED32" s="345">
        <v>4.7699999999999996</v>
      </c>
      <c r="EE32" s="345">
        <v>4.78</v>
      </c>
      <c r="EF32" s="347">
        <v>4.8099999999999996</v>
      </c>
      <c r="EG32" s="347">
        <v>1</v>
      </c>
      <c r="EH32" s="347">
        <v>1</v>
      </c>
      <c r="EI32" s="347">
        <v>1</v>
      </c>
      <c r="EJ32" s="347">
        <v>1</v>
      </c>
      <c r="EK32" s="347">
        <v>1</v>
      </c>
      <c r="EL32" s="347">
        <v>1</v>
      </c>
      <c r="EM32" s="347">
        <v>1</v>
      </c>
      <c r="EN32" s="347">
        <v>1</v>
      </c>
      <c r="EO32" s="347">
        <v>1</v>
      </c>
      <c r="EP32" s="347">
        <v>1</v>
      </c>
      <c r="EQ32" s="347">
        <v>1</v>
      </c>
      <c r="ER32" s="347">
        <v>1</v>
      </c>
      <c r="ES32" s="347">
        <v>1</v>
      </c>
      <c r="ET32" s="347">
        <v>1</v>
      </c>
      <c r="EV32" s="345">
        <f t="shared" si="170"/>
        <v>1</v>
      </c>
      <c r="EW32" s="345">
        <v>4.6100000000000003</v>
      </c>
      <c r="EX32" s="345">
        <v>4.74</v>
      </c>
      <c r="EY32" s="345">
        <v>4.74</v>
      </c>
      <c r="EZ32" s="345">
        <v>4.76</v>
      </c>
      <c r="FA32" s="345">
        <v>4.8600000000000003</v>
      </c>
      <c r="FB32" s="345">
        <v>4.84</v>
      </c>
      <c r="FC32" s="347">
        <v>1</v>
      </c>
      <c r="FD32" s="347">
        <v>1</v>
      </c>
      <c r="FE32" s="347">
        <v>1</v>
      </c>
      <c r="FF32" s="347">
        <v>1</v>
      </c>
      <c r="FG32" s="347">
        <v>1</v>
      </c>
      <c r="FH32" s="347">
        <v>1</v>
      </c>
      <c r="FI32" s="347">
        <v>1</v>
      </c>
      <c r="FJ32" s="347">
        <v>1</v>
      </c>
      <c r="FK32" s="347">
        <v>1</v>
      </c>
      <c r="FL32" s="347">
        <v>1</v>
      </c>
      <c r="FM32" s="347">
        <v>1</v>
      </c>
      <c r="FN32" s="347">
        <v>1</v>
      </c>
      <c r="FO32" s="347">
        <v>1</v>
      </c>
      <c r="FP32" s="347">
        <v>1</v>
      </c>
      <c r="FQ32" s="347">
        <v>1</v>
      </c>
      <c r="FR32" s="347">
        <v>1</v>
      </c>
      <c r="FS32" s="347">
        <v>1</v>
      </c>
      <c r="FT32" s="347">
        <v>1</v>
      </c>
      <c r="FU32" s="347">
        <v>1</v>
      </c>
      <c r="FV32" s="347">
        <v>1</v>
      </c>
      <c r="FW32" s="347">
        <v>1</v>
      </c>
      <c r="FX32" s="347">
        <v>1</v>
      </c>
      <c r="FY32" s="347">
        <v>1</v>
      </c>
      <c r="FZ32" s="347">
        <v>1</v>
      </c>
      <c r="GB32" s="345">
        <f t="shared" si="171"/>
        <v>1</v>
      </c>
      <c r="GC32" s="345">
        <v>7.46</v>
      </c>
      <c r="GD32" s="345">
        <v>7.66</v>
      </c>
      <c r="GE32" s="345">
        <v>7.66</v>
      </c>
      <c r="GF32" s="345">
        <v>7.69</v>
      </c>
      <c r="GG32" s="345">
        <v>7.85</v>
      </c>
      <c r="GH32" s="345">
        <v>7.82</v>
      </c>
      <c r="GI32" s="345">
        <v>7.86</v>
      </c>
      <c r="GJ32" s="345">
        <v>7.86</v>
      </c>
      <c r="GK32" s="345">
        <v>8.14</v>
      </c>
      <c r="GL32" s="345">
        <v>8.2899999999999991</v>
      </c>
      <c r="GM32" s="345">
        <v>8.35</v>
      </c>
      <c r="GN32" s="345">
        <v>8.35</v>
      </c>
      <c r="GO32" s="345">
        <v>8.48</v>
      </c>
      <c r="GP32" s="345">
        <v>8.6</v>
      </c>
      <c r="GQ32" s="345">
        <v>8.6300000000000008</v>
      </c>
      <c r="GR32" s="347">
        <v>8.68</v>
      </c>
      <c r="GS32" s="347">
        <v>1</v>
      </c>
      <c r="GT32" s="347">
        <v>1</v>
      </c>
      <c r="GU32" s="347">
        <v>1</v>
      </c>
      <c r="GV32" s="347">
        <v>1</v>
      </c>
      <c r="GW32" s="347">
        <v>1</v>
      </c>
      <c r="GX32" s="347">
        <v>1</v>
      </c>
      <c r="GY32" s="347">
        <v>1</v>
      </c>
      <c r="GZ32" s="347">
        <v>1</v>
      </c>
      <c r="HA32" s="347">
        <v>1</v>
      </c>
      <c r="HB32" s="347">
        <v>1</v>
      </c>
      <c r="HC32" s="347">
        <v>1</v>
      </c>
      <c r="HD32" s="347">
        <v>1</v>
      </c>
      <c r="HE32" s="347">
        <v>1</v>
      </c>
      <c r="HF32" s="347">
        <v>1</v>
      </c>
      <c r="HH32" s="340">
        <v>1</v>
      </c>
      <c r="HI32" s="348">
        <v>1</v>
      </c>
      <c r="HJ32" s="348">
        <v>1</v>
      </c>
      <c r="HK32" s="348">
        <v>1</v>
      </c>
      <c r="HM32" s="340">
        <f t="shared" si="173"/>
        <v>1</v>
      </c>
      <c r="HN32" s="345">
        <v>1</v>
      </c>
    </row>
    <row r="33" spans="1:225" s="354" customFormat="1" ht="12.75" customHeight="1" x14ac:dyDescent="0.2">
      <c r="A33" s="349">
        <f t="shared" si="172"/>
        <v>29</v>
      </c>
      <c r="B33" s="350" t="s">
        <v>294</v>
      </c>
      <c r="C33" s="351">
        <v>0.92300000000000004</v>
      </c>
      <c r="D33" s="351">
        <v>0.93100000000000005</v>
      </c>
      <c r="E33" s="351">
        <v>0.85399999999999998</v>
      </c>
      <c r="F33" s="351">
        <v>1.073</v>
      </c>
      <c r="G33" s="351"/>
      <c r="H33" s="352">
        <f ca="1">OFFSET($HH33,0,'Расчет стоимости'!$M$10,1,1)</f>
        <v>1</v>
      </c>
      <c r="I33" s="351">
        <v>1</v>
      </c>
      <c r="J33" s="351">
        <v>1</v>
      </c>
      <c r="K33" s="350">
        <v>1</v>
      </c>
      <c r="L33" s="350">
        <v>1</v>
      </c>
      <c r="M33" s="353">
        <v>1.2E-2</v>
      </c>
      <c r="N33" s="354">
        <v>0.01</v>
      </c>
      <c r="O33" s="354">
        <v>6.0000000000000001E-3</v>
      </c>
      <c r="P33" s="354">
        <v>1.6E-2</v>
      </c>
      <c r="Q33" s="354">
        <v>0</v>
      </c>
      <c r="R33" s="355" t="s">
        <v>241</v>
      </c>
      <c r="T33" s="355">
        <f t="shared" si="174"/>
        <v>1</v>
      </c>
      <c r="U33" s="355">
        <f t="shared" si="174"/>
        <v>1</v>
      </c>
      <c r="V33" s="355">
        <f t="shared" si="174"/>
        <v>1</v>
      </c>
      <c r="W33" s="355">
        <f t="shared" si="174"/>
        <v>1</v>
      </c>
      <c r="X33" s="354">
        <f t="shared" si="166"/>
        <v>1</v>
      </c>
      <c r="Y33" s="354">
        <v>6.09</v>
      </c>
      <c r="Z33" s="354">
        <v>6.25</v>
      </c>
      <c r="AA33" s="354">
        <v>6.25</v>
      </c>
      <c r="AB33" s="354">
        <v>6.28</v>
      </c>
      <c r="AC33" s="354">
        <v>6.41</v>
      </c>
      <c r="AD33" s="354">
        <v>6.38</v>
      </c>
      <c r="AE33" s="354">
        <v>6.42</v>
      </c>
      <c r="AF33" s="354">
        <v>6.42</v>
      </c>
      <c r="AG33" s="354">
        <v>6.64</v>
      </c>
      <c r="AH33" s="354">
        <v>6.75</v>
      </c>
      <c r="AI33" s="354">
        <v>6.8</v>
      </c>
      <c r="AJ33" s="354">
        <v>6.8</v>
      </c>
      <c r="AK33" s="354">
        <v>6.91</v>
      </c>
      <c r="AL33" s="354">
        <v>6.91</v>
      </c>
      <c r="AM33" s="354">
        <v>6.94</v>
      </c>
      <c r="AN33" s="356">
        <v>6.98</v>
      </c>
      <c r="AO33" s="356">
        <v>1</v>
      </c>
      <c r="AP33" s="356">
        <v>1</v>
      </c>
      <c r="AQ33" s="356">
        <v>1</v>
      </c>
      <c r="AR33" s="356">
        <v>1</v>
      </c>
      <c r="AS33" s="356">
        <v>1</v>
      </c>
      <c r="AT33" s="356">
        <v>1</v>
      </c>
      <c r="AU33" s="356">
        <v>1</v>
      </c>
      <c r="AV33" s="356">
        <v>1</v>
      </c>
      <c r="AW33" s="356">
        <v>1</v>
      </c>
      <c r="AX33" s="356">
        <v>1</v>
      </c>
      <c r="AY33" s="356">
        <v>1</v>
      </c>
      <c r="AZ33" s="356">
        <v>1</v>
      </c>
      <c r="BA33" s="356">
        <v>1</v>
      </c>
      <c r="BB33" s="356">
        <v>1</v>
      </c>
      <c r="BD33" s="354">
        <f t="shared" si="167"/>
        <v>1</v>
      </c>
      <c r="BE33" s="354">
        <v>4.33</v>
      </c>
      <c r="BF33" s="354">
        <v>4.3499999999999996</v>
      </c>
      <c r="BG33" s="354">
        <v>4.3499999999999996</v>
      </c>
      <c r="BH33" s="354">
        <v>4.37</v>
      </c>
      <c r="BI33" s="354">
        <v>4.46</v>
      </c>
      <c r="BJ33" s="354">
        <v>4.38</v>
      </c>
      <c r="BK33" s="354">
        <v>4.4000000000000004</v>
      </c>
      <c r="BL33" s="354">
        <v>4.4000000000000004</v>
      </c>
      <c r="BM33" s="354">
        <v>4.45</v>
      </c>
      <c r="BN33" s="354">
        <v>4.53</v>
      </c>
      <c r="BO33" s="354">
        <v>4.5599999999999996</v>
      </c>
      <c r="BP33" s="354">
        <v>4.5599999999999996</v>
      </c>
      <c r="BQ33" s="354">
        <v>4.63</v>
      </c>
      <c r="BR33" s="354">
        <v>4.63</v>
      </c>
      <c r="BS33" s="354">
        <v>4.6500000000000004</v>
      </c>
      <c r="BT33" s="356">
        <v>4.68</v>
      </c>
      <c r="BU33" s="356">
        <v>1</v>
      </c>
      <c r="BV33" s="356">
        <v>1</v>
      </c>
      <c r="BW33" s="356">
        <v>1</v>
      </c>
      <c r="BX33" s="356">
        <v>1</v>
      </c>
      <c r="BY33" s="356">
        <v>1</v>
      </c>
      <c r="BZ33" s="356">
        <v>1</v>
      </c>
      <c r="CA33" s="356">
        <v>1</v>
      </c>
      <c r="CB33" s="356">
        <v>1</v>
      </c>
      <c r="CC33" s="356">
        <v>1</v>
      </c>
      <c r="CD33" s="356">
        <v>1</v>
      </c>
      <c r="CE33" s="356">
        <v>1</v>
      </c>
      <c r="CF33" s="356">
        <v>1</v>
      </c>
      <c r="CG33" s="356">
        <v>1</v>
      </c>
      <c r="CH33" s="356">
        <v>1</v>
      </c>
      <c r="CJ33" s="354">
        <f t="shared" si="168"/>
        <v>1</v>
      </c>
      <c r="CK33" s="354">
        <v>4.8499999999999996</v>
      </c>
      <c r="CL33" s="354">
        <v>4.8600000000000003</v>
      </c>
      <c r="CM33" s="354">
        <v>4.8600000000000003</v>
      </c>
      <c r="CN33" s="354">
        <v>4.88</v>
      </c>
      <c r="CO33" s="354">
        <v>4.93</v>
      </c>
      <c r="CP33" s="354">
        <v>4.83</v>
      </c>
      <c r="CQ33" s="347">
        <v>1</v>
      </c>
      <c r="CR33" s="347">
        <v>1</v>
      </c>
      <c r="CS33" s="347">
        <v>1</v>
      </c>
      <c r="CT33" s="356">
        <v>1</v>
      </c>
      <c r="CU33" s="356">
        <v>1</v>
      </c>
      <c r="CV33" s="356">
        <v>1</v>
      </c>
      <c r="CW33" s="356">
        <v>1</v>
      </c>
      <c r="CX33" s="356">
        <v>1</v>
      </c>
      <c r="CY33" s="356">
        <v>1</v>
      </c>
      <c r="CZ33" s="356">
        <v>1</v>
      </c>
      <c r="DA33" s="356">
        <v>1</v>
      </c>
      <c r="DB33" s="356">
        <v>1</v>
      </c>
      <c r="DC33" s="356">
        <v>1</v>
      </c>
      <c r="DD33" s="356">
        <v>1</v>
      </c>
      <c r="DE33" s="356">
        <v>1</v>
      </c>
      <c r="DF33" s="356">
        <v>1</v>
      </c>
      <c r="DG33" s="356">
        <v>1</v>
      </c>
      <c r="DH33" s="356">
        <v>1</v>
      </c>
      <c r="DI33" s="356">
        <v>1</v>
      </c>
      <c r="DJ33" s="356">
        <v>1</v>
      </c>
      <c r="DK33" s="356">
        <v>1</v>
      </c>
      <c r="DL33" s="356">
        <v>1</v>
      </c>
      <c r="DM33" s="356">
        <v>1</v>
      </c>
      <c r="DN33" s="356">
        <v>1</v>
      </c>
      <c r="DP33" s="354">
        <f t="shared" si="169"/>
        <v>1</v>
      </c>
      <c r="DQ33" s="354">
        <v>4.96</v>
      </c>
      <c r="DR33" s="354">
        <v>4.99</v>
      </c>
      <c r="DS33" s="354">
        <v>4.99</v>
      </c>
      <c r="DT33" s="354">
        <v>5.01</v>
      </c>
      <c r="DU33" s="354">
        <v>5.12</v>
      </c>
      <c r="DV33" s="354">
        <v>5.0999999999999996</v>
      </c>
      <c r="DW33" s="354">
        <v>5.13</v>
      </c>
      <c r="DX33" s="354">
        <v>5.13</v>
      </c>
      <c r="DY33" s="354">
        <v>5.31</v>
      </c>
      <c r="DZ33" s="354">
        <v>5.4</v>
      </c>
      <c r="EA33" s="354">
        <v>5.44</v>
      </c>
      <c r="EB33" s="354">
        <v>5.44</v>
      </c>
      <c r="EC33" s="354">
        <v>5.53</v>
      </c>
      <c r="ED33" s="354">
        <v>5.53</v>
      </c>
      <c r="EE33" s="354">
        <v>5.55</v>
      </c>
      <c r="EF33" s="356">
        <v>5.58</v>
      </c>
      <c r="EG33" s="356">
        <v>1</v>
      </c>
      <c r="EH33" s="356">
        <v>1</v>
      </c>
      <c r="EI33" s="356">
        <v>1</v>
      </c>
      <c r="EJ33" s="356">
        <v>1</v>
      </c>
      <c r="EK33" s="356">
        <v>1</v>
      </c>
      <c r="EL33" s="356">
        <v>1</v>
      </c>
      <c r="EM33" s="356">
        <v>1</v>
      </c>
      <c r="EN33" s="356">
        <v>1</v>
      </c>
      <c r="EO33" s="356">
        <v>1</v>
      </c>
      <c r="EP33" s="356">
        <v>1</v>
      </c>
      <c r="EQ33" s="356">
        <v>1</v>
      </c>
      <c r="ER33" s="356">
        <v>1</v>
      </c>
      <c r="ES33" s="356">
        <v>1</v>
      </c>
      <c r="ET33" s="356">
        <v>1</v>
      </c>
      <c r="EV33" s="354">
        <f t="shared" si="170"/>
        <v>1</v>
      </c>
      <c r="EW33" s="354">
        <v>5.0999999999999996</v>
      </c>
      <c r="EX33" s="354">
        <v>5.2</v>
      </c>
      <c r="EY33" s="354">
        <v>5.2</v>
      </c>
      <c r="EZ33" s="354">
        <v>5.22</v>
      </c>
      <c r="FA33" s="354">
        <v>5.33</v>
      </c>
      <c r="FB33" s="354">
        <v>5.31</v>
      </c>
      <c r="FC33" s="347">
        <v>1</v>
      </c>
      <c r="FD33" s="347">
        <v>1</v>
      </c>
      <c r="FE33" s="347">
        <v>1</v>
      </c>
      <c r="FF33" s="356">
        <v>1</v>
      </c>
      <c r="FG33" s="356">
        <v>1</v>
      </c>
      <c r="FH33" s="356">
        <v>1</v>
      </c>
      <c r="FI33" s="356">
        <v>1</v>
      </c>
      <c r="FJ33" s="356">
        <v>1</v>
      </c>
      <c r="FK33" s="356">
        <v>1</v>
      </c>
      <c r="FL33" s="356">
        <v>1</v>
      </c>
      <c r="FM33" s="356">
        <v>1</v>
      </c>
      <c r="FN33" s="356">
        <v>1</v>
      </c>
      <c r="FO33" s="356">
        <v>1</v>
      </c>
      <c r="FP33" s="356">
        <v>1</v>
      </c>
      <c r="FQ33" s="356">
        <v>1</v>
      </c>
      <c r="FR33" s="356">
        <v>1</v>
      </c>
      <c r="FS33" s="356">
        <v>1</v>
      </c>
      <c r="FT33" s="356">
        <v>1</v>
      </c>
      <c r="FU33" s="356">
        <v>1</v>
      </c>
      <c r="FV33" s="356">
        <v>1</v>
      </c>
      <c r="FW33" s="356">
        <v>1</v>
      </c>
      <c r="FX33" s="356">
        <v>1</v>
      </c>
      <c r="FY33" s="356">
        <v>1</v>
      </c>
      <c r="FZ33" s="356">
        <v>1</v>
      </c>
      <c r="GB33" s="354">
        <f t="shared" si="171"/>
        <v>1</v>
      </c>
      <c r="GC33" s="354">
        <v>12.08</v>
      </c>
      <c r="GD33" s="354">
        <v>12.39</v>
      </c>
      <c r="GE33" s="354">
        <v>12.39</v>
      </c>
      <c r="GF33" s="354">
        <v>12.44</v>
      </c>
      <c r="GG33" s="354">
        <v>12.7</v>
      </c>
      <c r="GH33" s="354">
        <v>12.65</v>
      </c>
      <c r="GI33" s="354">
        <v>12.71</v>
      </c>
      <c r="GJ33" s="354">
        <v>12.71</v>
      </c>
      <c r="GK33" s="354">
        <v>13.15</v>
      </c>
      <c r="GL33" s="354">
        <v>13.39</v>
      </c>
      <c r="GM33" s="354">
        <v>13.48</v>
      </c>
      <c r="GN33" s="354">
        <v>13.48</v>
      </c>
      <c r="GO33" s="354">
        <v>13.7</v>
      </c>
      <c r="GP33" s="354">
        <v>13.7</v>
      </c>
      <c r="GQ33" s="354">
        <v>13.75</v>
      </c>
      <c r="GR33" s="356">
        <v>13.83</v>
      </c>
      <c r="GS33" s="356">
        <v>1</v>
      </c>
      <c r="GT33" s="356">
        <v>1</v>
      </c>
      <c r="GU33" s="356">
        <v>1</v>
      </c>
      <c r="GV33" s="356">
        <v>1</v>
      </c>
      <c r="GW33" s="356">
        <v>1</v>
      </c>
      <c r="GX33" s="356">
        <v>1</v>
      </c>
      <c r="GY33" s="356">
        <v>1</v>
      </c>
      <c r="GZ33" s="356">
        <v>1</v>
      </c>
      <c r="HA33" s="356">
        <v>1</v>
      </c>
      <c r="HB33" s="356">
        <v>1</v>
      </c>
      <c r="HC33" s="356">
        <v>1</v>
      </c>
      <c r="HD33" s="356">
        <v>1</v>
      </c>
      <c r="HE33" s="356">
        <v>1</v>
      </c>
      <c r="HF33" s="356">
        <v>1</v>
      </c>
      <c r="HH33" s="349">
        <v>1</v>
      </c>
      <c r="HI33" s="357">
        <v>1</v>
      </c>
      <c r="HJ33" s="357">
        <v>1</v>
      </c>
      <c r="HK33" s="357">
        <v>1</v>
      </c>
      <c r="HM33" s="349">
        <f t="shared" si="173"/>
        <v>1</v>
      </c>
      <c r="HN33" s="354">
        <v>1</v>
      </c>
    </row>
    <row r="34" spans="1:225" ht="12.75" hidden="1" customHeight="1" x14ac:dyDescent="0.2">
      <c r="A34" s="373">
        <f t="shared" si="172"/>
        <v>30</v>
      </c>
      <c r="B34" s="149" t="s">
        <v>123</v>
      </c>
      <c r="C34" s="150">
        <v>1.107</v>
      </c>
      <c r="D34" s="150">
        <v>1.1659999999999999</v>
      </c>
      <c r="E34" s="150">
        <v>1.2230000000000001</v>
      </c>
      <c r="F34" s="150">
        <v>1.0840000000000001</v>
      </c>
      <c r="G34" s="150"/>
      <c r="H34" s="226">
        <f ca="1">OFFSET($HH34,0,'Расчет стоимости'!$M$10,1,1)</f>
        <v>1</v>
      </c>
      <c r="I34" s="150">
        <v>1</v>
      </c>
      <c r="J34" s="150">
        <v>1</v>
      </c>
      <c r="K34" s="149">
        <v>1</v>
      </c>
      <c r="L34" s="149">
        <v>1</v>
      </c>
      <c r="M34" s="372">
        <v>2.1000000000000001E-2</v>
      </c>
      <c r="N34" s="145">
        <v>1.9E-2</v>
      </c>
      <c r="O34" s="145">
        <v>0.01</v>
      </c>
      <c r="P34" s="145">
        <v>3.2000000000000001E-2</v>
      </c>
      <c r="Q34" s="145">
        <v>0</v>
      </c>
      <c r="R34" s="152" t="s">
        <v>234</v>
      </c>
      <c r="T34" s="225">
        <f t="shared" si="174"/>
        <v>1</v>
      </c>
      <c r="U34" s="225">
        <f t="shared" si="174"/>
        <v>1</v>
      </c>
      <c r="V34" s="225">
        <f t="shared" si="174"/>
        <v>1</v>
      </c>
      <c r="W34" s="225">
        <f t="shared" si="174"/>
        <v>1</v>
      </c>
      <c r="X34" s="145">
        <f t="shared" si="166"/>
        <v>1</v>
      </c>
      <c r="Y34" s="145">
        <v>6.39</v>
      </c>
      <c r="Z34" s="145">
        <v>6.4</v>
      </c>
      <c r="AA34" s="145">
        <v>6.4</v>
      </c>
      <c r="AB34" s="145">
        <v>6.4</v>
      </c>
      <c r="AC34" s="145">
        <v>6.51</v>
      </c>
      <c r="AD34" s="41">
        <v>6.48</v>
      </c>
      <c r="AE34" s="41">
        <v>1</v>
      </c>
      <c r="AF34" s="41">
        <v>1</v>
      </c>
      <c r="AG34" s="41">
        <v>1</v>
      </c>
      <c r="AH34" s="41">
        <v>1</v>
      </c>
      <c r="AI34" s="41">
        <v>1</v>
      </c>
      <c r="AJ34" s="41">
        <v>1</v>
      </c>
      <c r="AK34" s="41">
        <v>1</v>
      </c>
      <c r="AL34" s="41">
        <v>1</v>
      </c>
      <c r="AM34" s="41">
        <v>1</v>
      </c>
      <c r="AN34" s="41">
        <v>1</v>
      </c>
      <c r="AO34" s="41">
        <v>1</v>
      </c>
      <c r="AP34" s="41">
        <v>1</v>
      </c>
      <c r="AQ34" s="41">
        <v>1</v>
      </c>
      <c r="AR34" s="41">
        <v>1</v>
      </c>
      <c r="AS34" s="41">
        <v>1</v>
      </c>
      <c r="AT34" s="41">
        <v>1</v>
      </c>
      <c r="AU34" s="41">
        <v>1</v>
      </c>
      <c r="AV34" s="41">
        <v>1</v>
      </c>
      <c r="AW34" s="41">
        <v>1</v>
      </c>
      <c r="AX34" s="41">
        <v>1</v>
      </c>
      <c r="AY34" s="41">
        <v>1</v>
      </c>
      <c r="AZ34" s="41">
        <v>1</v>
      </c>
      <c r="BA34" s="41">
        <v>1</v>
      </c>
      <c r="BB34" s="41">
        <v>1</v>
      </c>
      <c r="BD34" s="145">
        <f t="shared" si="167"/>
        <v>1</v>
      </c>
      <c r="BE34" s="145">
        <v>4.07</v>
      </c>
      <c r="BF34" s="145">
        <v>4.17</v>
      </c>
      <c r="BG34" s="145">
        <v>4.17</v>
      </c>
      <c r="BH34" s="145">
        <v>3.92</v>
      </c>
      <c r="BI34" s="145">
        <v>3.93</v>
      </c>
      <c r="BJ34" s="41">
        <v>3.88</v>
      </c>
      <c r="BK34" s="41">
        <v>1</v>
      </c>
      <c r="BL34" s="41">
        <v>1</v>
      </c>
      <c r="BM34" s="41">
        <v>1</v>
      </c>
      <c r="BN34" s="41">
        <v>1</v>
      </c>
      <c r="BO34" s="41">
        <v>1</v>
      </c>
      <c r="BP34" s="41">
        <v>1</v>
      </c>
      <c r="BQ34" s="41">
        <v>1</v>
      </c>
      <c r="BR34" s="41">
        <v>1</v>
      </c>
      <c r="BS34" s="41">
        <v>1</v>
      </c>
      <c r="BT34" s="41">
        <v>1</v>
      </c>
      <c r="BU34" s="41">
        <v>1</v>
      </c>
      <c r="BV34" s="41">
        <v>1</v>
      </c>
      <c r="BW34" s="41">
        <v>1</v>
      </c>
      <c r="BX34" s="41">
        <v>1</v>
      </c>
      <c r="BY34" s="41">
        <v>1</v>
      </c>
      <c r="BZ34" s="41">
        <v>1</v>
      </c>
      <c r="CA34" s="41">
        <v>1</v>
      </c>
      <c r="CB34" s="41">
        <v>1</v>
      </c>
      <c r="CC34" s="41">
        <v>1</v>
      </c>
      <c r="CD34" s="41">
        <v>1</v>
      </c>
      <c r="CE34" s="41">
        <v>1</v>
      </c>
      <c r="CF34" s="41">
        <v>1</v>
      </c>
      <c r="CG34" s="41">
        <v>1</v>
      </c>
      <c r="CH34" s="41">
        <v>1</v>
      </c>
      <c r="CJ34" s="145">
        <f t="shared" si="168"/>
        <v>1</v>
      </c>
      <c r="CK34" s="145">
        <v>4.6900000000000004</v>
      </c>
      <c r="CL34" s="145">
        <v>4.82</v>
      </c>
      <c r="CM34" s="145">
        <v>4.82</v>
      </c>
      <c r="CN34" s="145">
        <v>4.42</v>
      </c>
      <c r="CO34" s="145">
        <v>4.45</v>
      </c>
      <c r="CP34" s="41">
        <v>4.18</v>
      </c>
      <c r="CQ34" s="41">
        <v>1</v>
      </c>
      <c r="CR34" s="41">
        <v>1</v>
      </c>
      <c r="CS34" s="41">
        <v>1</v>
      </c>
      <c r="CT34" s="41">
        <v>1</v>
      </c>
      <c r="CU34" s="41">
        <v>1</v>
      </c>
      <c r="CV34" s="41">
        <v>1</v>
      </c>
      <c r="CW34" s="41">
        <v>1</v>
      </c>
      <c r="CX34" s="41">
        <v>1</v>
      </c>
      <c r="CY34" s="41">
        <v>1</v>
      </c>
      <c r="CZ34" s="41">
        <v>1</v>
      </c>
      <c r="DA34" s="41">
        <v>1</v>
      </c>
      <c r="DB34" s="41">
        <v>1</v>
      </c>
      <c r="DC34" s="41">
        <v>1</v>
      </c>
      <c r="DD34" s="41">
        <v>1</v>
      </c>
      <c r="DE34" s="41">
        <v>1</v>
      </c>
      <c r="DF34" s="41">
        <v>1</v>
      </c>
      <c r="DG34" s="41">
        <v>1</v>
      </c>
      <c r="DH34" s="41">
        <v>1</v>
      </c>
      <c r="DI34" s="41">
        <v>1</v>
      </c>
      <c r="DJ34" s="41">
        <v>1</v>
      </c>
      <c r="DK34" s="41">
        <v>1</v>
      </c>
      <c r="DL34" s="41">
        <v>1</v>
      </c>
      <c r="DM34" s="41">
        <v>1</v>
      </c>
      <c r="DN34" s="41">
        <v>1</v>
      </c>
      <c r="DP34" s="145">
        <f t="shared" si="169"/>
        <v>1</v>
      </c>
      <c r="DQ34" s="145">
        <v>4.7699999999999996</v>
      </c>
      <c r="DR34" s="145">
        <v>4.9000000000000004</v>
      </c>
      <c r="DS34" s="145">
        <v>4.9000000000000004</v>
      </c>
      <c r="DT34" s="145">
        <v>4.92</v>
      </c>
      <c r="DU34" s="145">
        <v>5.0199999999999996</v>
      </c>
      <c r="DV34" s="41">
        <v>5</v>
      </c>
      <c r="DW34" s="41">
        <v>1</v>
      </c>
      <c r="DX34" s="41">
        <v>1</v>
      </c>
      <c r="DY34" s="41">
        <v>1</v>
      </c>
      <c r="DZ34" s="41">
        <v>1</v>
      </c>
      <c r="EA34" s="41">
        <v>1</v>
      </c>
      <c r="EB34" s="41">
        <v>1</v>
      </c>
      <c r="EC34" s="41">
        <v>1</v>
      </c>
      <c r="ED34" s="41">
        <v>1</v>
      </c>
      <c r="EE34" s="41">
        <v>1</v>
      </c>
      <c r="EF34" s="41">
        <v>1</v>
      </c>
      <c r="EG34" s="41">
        <v>1</v>
      </c>
      <c r="EH34" s="41">
        <v>1</v>
      </c>
      <c r="EI34" s="41">
        <v>1</v>
      </c>
      <c r="EJ34" s="41">
        <v>1</v>
      </c>
      <c r="EK34" s="41">
        <v>1</v>
      </c>
      <c r="EL34" s="41">
        <v>1</v>
      </c>
      <c r="EM34" s="41">
        <v>1</v>
      </c>
      <c r="EN34" s="41">
        <v>1</v>
      </c>
      <c r="EO34" s="41">
        <v>1</v>
      </c>
      <c r="EP34" s="41">
        <v>1</v>
      </c>
      <c r="EQ34" s="41">
        <v>1</v>
      </c>
      <c r="ER34" s="41">
        <v>1</v>
      </c>
      <c r="ES34" s="41">
        <v>1</v>
      </c>
      <c r="ET34" s="41">
        <v>1</v>
      </c>
      <c r="EV34" s="145">
        <f t="shared" si="170"/>
        <v>1</v>
      </c>
      <c r="EW34" s="145">
        <v>5.07</v>
      </c>
      <c r="EX34" s="145">
        <v>5.2</v>
      </c>
      <c r="EY34" s="145">
        <v>5.2</v>
      </c>
      <c r="EZ34" s="145">
        <v>4.8899999999999997</v>
      </c>
      <c r="FA34" s="145">
        <v>4.9000000000000004</v>
      </c>
      <c r="FB34" s="41">
        <v>4.76</v>
      </c>
      <c r="FC34" s="41">
        <v>1</v>
      </c>
      <c r="FD34" s="41">
        <v>1</v>
      </c>
      <c r="FE34" s="41">
        <v>1</v>
      </c>
      <c r="FF34" s="41">
        <v>1</v>
      </c>
      <c r="FG34" s="41">
        <v>1</v>
      </c>
      <c r="FH34" s="41">
        <v>1</v>
      </c>
      <c r="FI34" s="41">
        <v>1</v>
      </c>
      <c r="FJ34" s="41">
        <v>1</v>
      </c>
      <c r="FK34" s="41">
        <v>1</v>
      </c>
      <c r="FL34" s="41">
        <v>1</v>
      </c>
      <c r="FM34" s="41">
        <v>1</v>
      </c>
      <c r="FN34" s="41">
        <v>1</v>
      </c>
      <c r="FO34" s="41">
        <v>1</v>
      </c>
      <c r="FP34" s="41">
        <v>1</v>
      </c>
      <c r="FQ34" s="41">
        <v>1</v>
      </c>
      <c r="FR34" s="41">
        <v>1</v>
      </c>
      <c r="FS34" s="41">
        <v>1</v>
      </c>
      <c r="FT34" s="41">
        <v>1</v>
      </c>
      <c r="FU34" s="41">
        <v>1</v>
      </c>
      <c r="FV34" s="41">
        <v>1</v>
      </c>
      <c r="FW34" s="41">
        <v>1</v>
      </c>
      <c r="FX34" s="41">
        <v>1</v>
      </c>
      <c r="FY34" s="41">
        <v>1</v>
      </c>
      <c r="FZ34" s="41">
        <v>1</v>
      </c>
      <c r="GB34" s="145">
        <f t="shared" si="171"/>
        <v>1</v>
      </c>
      <c r="GC34" s="145">
        <v>12.47</v>
      </c>
      <c r="GD34" s="145">
        <v>12.8</v>
      </c>
      <c r="GE34" s="145">
        <v>12.8</v>
      </c>
      <c r="GF34" s="145">
        <v>12.85</v>
      </c>
      <c r="GG34" s="145">
        <v>13.12</v>
      </c>
      <c r="GH34" s="41">
        <v>13.07</v>
      </c>
      <c r="GI34" s="41">
        <v>1</v>
      </c>
      <c r="GJ34" s="41">
        <v>1</v>
      </c>
      <c r="GK34" s="41">
        <v>1</v>
      </c>
      <c r="GL34" s="41">
        <v>1</v>
      </c>
      <c r="GM34" s="41">
        <v>1</v>
      </c>
      <c r="GN34" s="41">
        <v>1</v>
      </c>
      <c r="GO34" s="41">
        <v>1</v>
      </c>
      <c r="GP34" s="41">
        <v>1</v>
      </c>
      <c r="GQ34" s="41">
        <v>1</v>
      </c>
      <c r="GR34" s="41">
        <v>1</v>
      </c>
      <c r="GS34" s="41">
        <v>1</v>
      </c>
      <c r="GT34" s="41">
        <v>1</v>
      </c>
      <c r="GU34" s="41">
        <v>1</v>
      </c>
      <c r="GV34" s="41">
        <v>1</v>
      </c>
      <c r="GW34" s="41">
        <v>1</v>
      </c>
      <c r="GX34" s="41">
        <v>1</v>
      </c>
      <c r="GY34" s="41">
        <v>1</v>
      </c>
      <c r="GZ34" s="41">
        <v>1</v>
      </c>
      <c r="HA34" s="41">
        <v>1</v>
      </c>
      <c r="HB34" s="41">
        <v>1</v>
      </c>
      <c r="HC34" s="41">
        <v>1</v>
      </c>
      <c r="HD34" s="41">
        <v>1</v>
      </c>
      <c r="HE34" s="41">
        <v>1</v>
      </c>
      <c r="HF34" s="41">
        <v>1</v>
      </c>
      <c r="HH34" s="373">
        <v>1</v>
      </c>
      <c r="HI34" s="218">
        <v>1</v>
      </c>
      <c r="HJ34" s="229">
        <v>1</v>
      </c>
      <c r="HK34" s="229">
        <v>1</v>
      </c>
      <c r="HM34" s="373">
        <f t="shared" si="173"/>
        <v>1</v>
      </c>
      <c r="HN34" s="145">
        <v>1</v>
      </c>
    </row>
    <row r="35" spans="1:225" ht="12.75" hidden="1" customHeight="1" x14ac:dyDescent="0.2">
      <c r="A35" s="373">
        <f t="shared" si="172"/>
        <v>31</v>
      </c>
      <c r="B35" s="149" t="s">
        <v>152</v>
      </c>
      <c r="C35" s="150">
        <v>0.94199999999999995</v>
      </c>
      <c r="D35" s="150">
        <v>0.95</v>
      </c>
      <c r="E35" s="150">
        <v>0.91100000000000003</v>
      </c>
      <c r="F35" s="150">
        <v>0.96499999999999997</v>
      </c>
      <c r="G35" s="150"/>
      <c r="H35" s="226">
        <f ca="1">OFFSET($HH35,0,'Расчет стоимости'!$M$10,1,1)</f>
        <v>0.94</v>
      </c>
      <c r="I35" s="150">
        <v>1</v>
      </c>
      <c r="J35" s="150">
        <v>1</v>
      </c>
      <c r="K35" s="149">
        <v>1</v>
      </c>
      <c r="L35" s="149">
        <v>1</v>
      </c>
      <c r="M35" s="372">
        <v>6.0000000000000001E-3</v>
      </c>
      <c r="N35" s="145">
        <v>4.0000000000000001E-3</v>
      </c>
      <c r="O35" s="145">
        <v>3.0000000000000001E-3</v>
      </c>
      <c r="P35" s="145">
        <v>6.9999999999999993E-3</v>
      </c>
      <c r="Q35" s="145">
        <v>0</v>
      </c>
      <c r="R35" s="152" t="s">
        <v>239</v>
      </c>
      <c r="T35" s="225">
        <f t="shared" si="174"/>
        <v>1</v>
      </c>
      <c r="U35" s="225">
        <f t="shared" si="174"/>
        <v>1</v>
      </c>
      <c r="V35" s="225">
        <f t="shared" si="174"/>
        <v>1</v>
      </c>
      <c r="W35" s="225">
        <f t="shared" si="174"/>
        <v>1</v>
      </c>
      <c r="X35" s="145">
        <f t="shared" si="166"/>
        <v>1</v>
      </c>
      <c r="Y35" s="145">
        <v>5.58</v>
      </c>
      <c r="Z35" s="145">
        <v>5.73</v>
      </c>
      <c r="AA35" s="145">
        <v>5.73</v>
      </c>
      <c r="AB35" s="145">
        <v>5.75</v>
      </c>
      <c r="AC35" s="145">
        <v>5.87</v>
      </c>
      <c r="AD35" s="41">
        <v>5.85</v>
      </c>
      <c r="AE35" s="41">
        <v>1</v>
      </c>
      <c r="AF35" s="41">
        <v>1</v>
      </c>
      <c r="AG35" s="41">
        <v>1</v>
      </c>
      <c r="AH35" s="41">
        <v>1</v>
      </c>
      <c r="AI35" s="41">
        <v>1</v>
      </c>
      <c r="AJ35" s="41">
        <v>1</v>
      </c>
      <c r="AK35" s="41">
        <v>1</v>
      </c>
      <c r="AL35" s="41">
        <v>1</v>
      </c>
      <c r="AM35" s="41">
        <v>1</v>
      </c>
      <c r="AN35" s="41">
        <v>1</v>
      </c>
      <c r="AO35" s="41">
        <v>1</v>
      </c>
      <c r="AP35" s="41">
        <v>1</v>
      </c>
      <c r="AQ35" s="41">
        <v>1</v>
      </c>
      <c r="AR35" s="41">
        <v>1</v>
      </c>
      <c r="AS35" s="41">
        <v>1</v>
      </c>
      <c r="AT35" s="41">
        <v>1</v>
      </c>
      <c r="AU35" s="41">
        <v>1</v>
      </c>
      <c r="AV35" s="41">
        <v>1</v>
      </c>
      <c r="AW35" s="41">
        <v>1</v>
      </c>
      <c r="AX35" s="41">
        <v>1</v>
      </c>
      <c r="AY35" s="41">
        <v>1</v>
      </c>
      <c r="AZ35" s="41">
        <v>1</v>
      </c>
      <c r="BA35" s="41">
        <v>1</v>
      </c>
      <c r="BB35" s="41">
        <v>1</v>
      </c>
      <c r="BD35" s="145">
        <f t="shared" si="167"/>
        <v>1</v>
      </c>
      <c r="BE35" s="145">
        <v>4.1399999999999997</v>
      </c>
      <c r="BF35" s="145">
        <v>4.1500000000000004</v>
      </c>
      <c r="BG35" s="145">
        <v>4.1500000000000004</v>
      </c>
      <c r="BH35" s="145">
        <v>4.17</v>
      </c>
      <c r="BI35" s="145">
        <v>4.2</v>
      </c>
      <c r="BJ35" s="41">
        <v>4.18</v>
      </c>
      <c r="BK35" s="41">
        <v>1</v>
      </c>
      <c r="BL35" s="41">
        <v>1</v>
      </c>
      <c r="BM35" s="41">
        <v>1</v>
      </c>
      <c r="BN35" s="41">
        <v>1</v>
      </c>
      <c r="BO35" s="41">
        <v>1</v>
      </c>
      <c r="BP35" s="41">
        <v>1</v>
      </c>
      <c r="BQ35" s="41">
        <v>1</v>
      </c>
      <c r="BR35" s="41">
        <v>1</v>
      </c>
      <c r="BS35" s="41">
        <v>1</v>
      </c>
      <c r="BT35" s="41">
        <v>1</v>
      </c>
      <c r="BU35" s="41">
        <v>1</v>
      </c>
      <c r="BV35" s="41">
        <v>1</v>
      </c>
      <c r="BW35" s="41">
        <v>1</v>
      </c>
      <c r="BX35" s="41">
        <v>1</v>
      </c>
      <c r="BY35" s="41">
        <v>1</v>
      </c>
      <c r="BZ35" s="41">
        <v>1</v>
      </c>
      <c r="CA35" s="41">
        <v>1</v>
      </c>
      <c r="CB35" s="41">
        <v>1</v>
      </c>
      <c r="CC35" s="41">
        <v>1</v>
      </c>
      <c r="CD35" s="41">
        <v>1</v>
      </c>
      <c r="CE35" s="41">
        <v>1</v>
      </c>
      <c r="CF35" s="41">
        <v>1</v>
      </c>
      <c r="CG35" s="41">
        <v>1</v>
      </c>
      <c r="CH35" s="41">
        <v>1</v>
      </c>
      <c r="CJ35" s="145">
        <f t="shared" si="168"/>
        <v>1</v>
      </c>
      <c r="CK35" s="145">
        <v>4.26</v>
      </c>
      <c r="CL35" s="145">
        <v>4.25</v>
      </c>
      <c r="CM35" s="145">
        <v>4.25</v>
      </c>
      <c r="CN35" s="145">
        <v>4.26</v>
      </c>
      <c r="CO35" s="145">
        <v>4.2699999999999996</v>
      </c>
      <c r="CP35" s="41">
        <v>4.25</v>
      </c>
      <c r="CQ35" s="41">
        <v>1</v>
      </c>
      <c r="CR35" s="41">
        <v>1</v>
      </c>
      <c r="CS35" s="41">
        <v>1</v>
      </c>
      <c r="CT35" s="41">
        <v>1</v>
      </c>
      <c r="CU35" s="41">
        <v>1</v>
      </c>
      <c r="CV35" s="41">
        <v>1</v>
      </c>
      <c r="CW35" s="41">
        <v>1</v>
      </c>
      <c r="CX35" s="41">
        <v>1</v>
      </c>
      <c r="CY35" s="41">
        <v>1</v>
      </c>
      <c r="CZ35" s="41">
        <v>1</v>
      </c>
      <c r="DA35" s="41">
        <v>1</v>
      </c>
      <c r="DB35" s="41">
        <v>1</v>
      </c>
      <c r="DC35" s="41">
        <v>1</v>
      </c>
      <c r="DD35" s="41">
        <v>1</v>
      </c>
      <c r="DE35" s="41">
        <v>1</v>
      </c>
      <c r="DF35" s="41">
        <v>1</v>
      </c>
      <c r="DG35" s="41">
        <v>1</v>
      </c>
      <c r="DH35" s="41">
        <v>1</v>
      </c>
      <c r="DI35" s="41">
        <v>1</v>
      </c>
      <c r="DJ35" s="41">
        <v>1</v>
      </c>
      <c r="DK35" s="41">
        <v>1</v>
      </c>
      <c r="DL35" s="41">
        <v>1</v>
      </c>
      <c r="DM35" s="41">
        <v>1</v>
      </c>
      <c r="DN35" s="41">
        <v>1</v>
      </c>
      <c r="DP35" s="145">
        <f t="shared" si="169"/>
        <v>1</v>
      </c>
      <c r="DQ35" s="145">
        <v>4.82</v>
      </c>
      <c r="DR35" s="145">
        <v>4.92</v>
      </c>
      <c r="DS35" s="145">
        <v>4.92</v>
      </c>
      <c r="DT35" s="145">
        <v>4.9400000000000004</v>
      </c>
      <c r="DU35" s="145">
        <v>5.04</v>
      </c>
      <c r="DV35" s="41">
        <v>5.0199999999999996</v>
      </c>
      <c r="DW35" s="41">
        <v>1</v>
      </c>
      <c r="DX35" s="41">
        <v>1</v>
      </c>
      <c r="DY35" s="41">
        <v>1</v>
      </c>
      <c r="DZ35" s="41">
        <v>1</v>
      </c>
      <c r="EA35" s="41">
        <v>1</v>
      </c>
      <c r="EB35" s="41">
        <v>1</v>
      </c>
      <c r="EC35" s="41">
        <v>1</v>
      </c>
      <c r="ED35" s="41">
        <v>1</v>
      </c>
      <c r="EE35" s="41">
        <v>1</v>
      </c>
      <c r="EF35" s="41">
        <v>1</v>
      </c>
      <c r="EG35" s="41">
        <v>1</v>
      </c>
      <c r="EH35" s="41">
        <v>1</v>
      </c>
      <c r="EI35" s="41">
        <v>1</v>
      </c>
      <c r="EJ35" s="41">
        <v>1</v>
      </c>
      <c r="EK35" s="41">
        <v>1</v>
      </c>
      <c r="EL35" s="41">
        <v>1</v>
      </c>
      <c r="EM35" s="41">
        <v>1</v>
      </c>
      <c r="EN35" s="41">
        <v>1</v>
      </c>
      <c r="EO35" s="41">
        <v>1</v>
      </c>
      <c r="EP35" s="41">
        <v>1</v>
      </c>
      <c r="EQ35" s="41">
        <v>1</v>
      </c>
      <c r="ER35" s="41">
        <v>1</v>
      </c>
      <c r="ES35" s="41">
        <v>1</v>
      </c>
      <c r="ET35" s="41">
        <v>1</v>
      </c>
      <c r="EV35" s="145">
        <f t="shared" si="170"/>
        <v>1</v>
      </c>
      <c r="EW35" s="145">
        <v>4.41</v>
      </c>
      <c r="EX35" s="145">
        <v>4.45</v>
      </c>
      <c r="EY35" s="145">
        <v>4.45</v>
      </c>
      <c r="EZ35" s="145">
        <v>4.47</v>
      </c>
      <c r="FA35" s="145">
        <v>4.5599999999999996</v>
      </c>
      <c r="FB35" s="41">
        <v>4.54</v>
      </c>
      <c r="FC35" s="41">
        <v>1</v>
      </c>
      <c r="FD35" s="41">
        <v>1</v>
      </c>
      <c r="FE35" s="41">
        <v>1</v>
      </c>
      <c r="FF35" s="41">
        <v>1</v>
      </c>
      <c r="FG35" s="41">
        <v>1</v>
      </c>
      <c r="FH35" s="41">
        <v>1</v>
      </c>
      <c r="FI35" s="41">
        <v>1</v>
      </c>
      <c r="FJ35" s="41">
        <v>1</v>
      </c>
      <c r="FK35" s="41">
        <v>1</v>
      </c>
      <c r="FL35" s="41">
        <v>1</v>
      </c>
      <c r="FM35" s="41">
        <v>1</v>
      </c>
      <c r="FN35" s="41">
        <v>1</v>
      </c>
      <c r="FO35" s="41">
        <v>1</v>
      </c>
      <c r="FP35" s="41">
        <v>1</v>
      </c>
      <c r="FQ35" s="41">
        <v>1</v>
      </c>
      <c r="FR35" s="41">
        <v>1</v>
      </c>
      <c r="FS35" s="41">
        <v>1</v>
      </c>
      <c r="FT35" s="41">
        <v>1</v>
      </c>
      <c r="FU35" s="41">
        <v>1</v>
      </c>
      <c r="FV35" s="41">
        <v>1</v>
      </c>
      <c r="FW35" s="41">
        <v>1</v>
      </c>
      <c r="FX35" s="41">
        <v>1</v>
      </c>
      <c r="FY35" s="41">
        <v>1</v>
      </c>
      <c r="FZ35" s="41">
        <v>1</v>
      </c>
      <c r="GB35" s="145">
        <f t="shared" si="171"/>
        <v>1</v>
      </c>
      <c r="GC35" s="145">
        <v>8.43</v>
      </c>
      <c r="GD35" s="145">
        <v>8.65</v>
      </c>
      <c r="GE35" s="145">
        <v>8.65</v>
      </c>
      <c r="GF35" s="145">
        <v>8.68</v>
      </c>
      <c r="GG35" s="145">
        <v>8.86</v>
      </c>
      <c r="GH35" s="41">
        <v>8.82</v>
      </c>
      <c r="GI35" s="41">
        <v>1</v>
      </c>
      <c r="GJ35" s="41">
        <v>1</v>
      </c>
      <c r="GK35" s="41">
        <v>1</v>
      </c>
      <c r="GL35" s="41">
        <v>1</v>
      </c>
      <c r="GM35" s="41">
        <v>1</v>
      </c>
      <c r="GN35" s="41">
        <v>1</v>
      </c>
      <c r="GO35" s="41">
        <v>1</v>
      </c>
      <c r="GP35" s="41">
        <v>1</v>
      </c>
      <c r="GQ35" s="41">
        <v>1</v>
      </c>
      <c r="GR35" s="41">
        <v>1</v>
      </c>
      <c r="GS35" s="41">
        <v>1</v>
      </c>
      <c r="GT35" s="41">
        <v>1</v>
      </c>
      <c r="GU35" s="41">
        <v>1</v>
      </c>
      <c r="GV35" s="41">
        <v>1</v>
      </c>
      <c r="GW35" s="41">
        <v>1</v>
      </c>
      <c r="GX35" s="41">
        <v>1</v>
      </c>
      <c r="GY35" s="41">
        <v>1</v>
      </c>
      <c r="GZ35" s="41">
        <v>1</v>
      </c>
      <c r="HA35" s="41">
        <v>1</v>
      </c>
      <c r="HB35" s="41">
        <v>1</v>
      </c>
      <c r="HC35" s="41">
        <v>1</v>
      </c>
      <c r="HD35" s="41">
        <v>1</v>
      </c>
      <c r="HE35" s="41">
        <v>1</v>
      </c>
      <c r="HF35" s="41">
        <v>1</v>
      </c>
      <c r="HH35" s="373">
        <v>1</v>
      </c>
      <c r="HI35" s="218">
        <v>0.94</v>
      </c>
      <c r="HJ35" s="229">
        <v>0.94</v>
      </c>
      <c r="HK35" s="229">
        <v>0.94</v>
      </c>
      <c r="HM35" s="373">
        <f t="shared" si="173"/>
        <v>1</v>
      </c>
      <c r="HN35" s="145">
        <v>1</v>
      </c>
    </row>
    <row r="36" spans="1:225" ht="12.75" hidden="1" customHeight="1" x14ac:dyDescent="0.2">
      <c r="A36" s="373">
        <f t="shared" si="172"/>
        <v>32</v>
      </c>
      <c r="B36" s="149" t="s">
        <v>146</v>
      </c>
      <c r="C36" s="150">
        <v>1.1319999999999999</v>
      </c>
      <c r="D36" s="150">
        <v>1.1930000000000001</v>
      </c>
      <c r="E36" s="150">
        <v>0.91900000000000004</v>
      </c>
      <c r="F36" s="150">
        <v>1.145</v>
      </c>
      <c r="G36" s="150"/>
      <c r="H36" s="226">
        <f ca="1">OFFSET($HH36,0,'Расчет стоимости'!$M$10,1,1)</f>
        <v>0.94</v>
      </c>
      <c r="I36" s="150">
        <v>1</v>
      </c>
      <c r="J36" s="150">
        <v>1</v>
      </c>
      <c r="K36" s="149">
        <v>1</v>
      </c>
      <c r="L36" s="149">
        <v>1</v>
      </c>
      <c r="M36" s="372">
        <v>1.2E-2</v>
      </c>
      <c r="N36" s="145">
        <v>0.01</v>
      </c>
      <c r="O36" s="145">
        <v>6.0000000000000001E-3</v>
      </c>
      <c r="P36" s="145">
        <v>1.6E-2</v>
      </c>
      <c r="Q36" s="145">
        <v>0</v>
      </c>
      <c r="R36" s="152" t="s">
        <v>241</v>
      </c>
      <c r="T36" s="225">
        <f t="shared" si="174"/>
        <v>1</v>
      </c>
      <c r="U36" s="225">
        <f t="shared" si="174"/>
        <v>1</v>
      </c>
      <c r="V36" s="225">
        <f t="shared" si="174"/>
        <v>1</v>
      </c>
      <c r="W36" s="225">
        <f t="shared" si="174"/>
        <v>1</v>
      </c>
      <c r="X36" s="145">
        <f t="shared" si="166"/>
        <v>1</v>
      </c>
      <c r="Y36" s="145">
        <v>5.9</v>
      </c>
      <c r="Z36" s="145">
        <v>6.06</v>
      </c>
      <c r="AA36" s="145">
        <v>6.06</v>
      </c>
      <c r="AB36" s="145">
        <v>6.08</v>
      </c>
      <c r="AC36" s="145">
        <v>6.21</v>
      </c>
      <c r="AD36" s="41">
        <v>6.19</v>
      </c>
      <c r="AE36" s="41">
        <v>1</v>
      </c>
      <c r="AF36" s="41">
        <v>1</v>
      </c>
      <c r="AG36" s="41">
        <v>1</v>
      </c>
      <c r="AH36" s="41">
        <v>1</v>
      </c>
      <c r="AI36" s="41">
        <v>1</v>
      </c>
      <c r="AJ36" s="41">
        <v>1</v>
      </c>
      <c r="AK36" s="41">
        <v>1</v>
      </c>
      <c r="AL36" s="41">
        <v>1</v>
      </c>
      <c r="AM36" s="41">
        <v>1</v>
      </c>
      <c r="AN36" s="41">
        <v>1</v>
      </c>
      <c r="AO36" s="41">
        <v>1</v>
      </c>
      <c r="AP36" s="41">
        <v>1</v>
      </c>
      <c r="AQ36" s="41">
        <v>1</v>
      </c>
      <c r="AR36" s="41">
        <v>1</v>
      </c>
      <c r="AS36" s="41">
        <v>1</v>
      </c>
      <c r="AT36" s="41">
        <v>1</v>
      </c>
      <c r="AU36" s="41">
        <v>1</v>
      </c>
      <c r="AV36" s="41">
        <v>1</v>
      </c>
      <c r="AW36" s="41">
        <v>1</v>
      </c>
      <c r="AX36" s="41">
        <v>1</v>
      </c>
      <c r="AY36" s="41">
        <v>1</v>
      </c>
      <c r="AZ36" s="41">
        <v>1</v>
      </c>
      <c r="BA36" s="41">
        <v>1</v>
      </c>
      <c r="BB36" s="41">
        <v>1</v>
      </c>
      <c r="BD36" s="145">
        <f t="shared" si="167"/>
        <v>1</v>
      </c>
      <c r="BE36" s="145">
        <v>3.98</v>
      </c>
      <c r="BF36" s="145">
        <v>3.97</v>
      </c>
      <c r="BG36" s="145">
        <v>3.97</v>
      </c>
      <c r="BH36" s="145">
        <v>3.97</v>
      </c>
      <c r="BI36" s="145">
        <v>3.98</v>
      </c>
      <c r="BJ36" s="41">
        <v>3.96</v>
      </c>
      <c r="BK36" s="41">
        <v>1</v>
      </c>
      <c r="BL36" s="41">
        <v>1</v>
      </c>
      <c r="BM36" s="41">
        <v>1</v>
      </c>
      <c r="BN36" s="41">
        <v>1</v>
      </c>
      <c r="BO36" s="41">
        <v>1</v>
      </c>
      <c r="BP36" s="41">
        <v>1</v>
      </c>
      <c r="BQ36" s="41">
        <v>1</v>
      </c>
      <c r="BR36" s="41">
        <v>1</v>
      </c>
      <c r="BS36" s="41">
        <v>1</v>
      </c>
      <c r="BT36" s="41">
        <v>1</v>
      </c>
      <c r="BU36" s="41">
        <v>1</v>
      </c>
      <c r="BV36" s="41">
        <v>1</v>
      </c>
      <c r="BW36" s="41">
        <v>1</v>
      </c>
      <c r="BX36" s="41">
        <v>1</v>
      </c>
      <c r="BY36" s="41">
        <v>1</v>
      </c>
      <c r="BZ36" s="41">
        <v>1</v>
      </c>
      <c r="CA36" s="41">
        <v>1</v>
      </c>
      <c r="CB36" s="41">
        <v>1</v>
      </c>
      <c r="CC36" s="41">
        <v>1</v>
      </c>
      <c r="CD36" s="41">
        <v>1</v>
      </c>
      <c r="CE36" s="41">
        <v>1</v>
      </c>
      <c r="CF36" s="41">
        <v>1</v>
      </c>
      <c r="CG36" s="41">
        <v>1</v>
      </c>
      <c r="CH36" s="41">
        <v>1</v>
      </c>
      <c r="CJ36" s="145">
        <f t="shared" si="168"/>
        <v>1</v>
      </c>
      <c r="CK36" s="145">
        <v>3.92</v>
      </c>
      <c r="CL36" s="145">
        <v>3.9</v>
      </c>
      <c r="CM36" s="145">
        <v>3.9</v>
      </c>
      <c r="CN36" s="145">
        <v>3.92</v>
      </c>
      <c r="CO36" s="145">
        <v>4</v>
      </c>
      <c r="CP36" s="41">
        <v>3.98</v>
      </c>
      <c r="CQ36" s="41">
        <v>1</v>
      </c>
      <c r="CR36" s="41">
        <v>1</v>
      </c>
      <c r="CS36" s="41">
        <v>1</v>
      </c>
      <c r="CT36" s="41">
        <v>1</v>
      </c>
      <c r="CU36" s="41">
        <v>1</v>
      </c>
      <c r="CV36" s="41">
        <v>1</v>
      </c>
      <c r="CW36" s="41">
        <v>1</v>
      </c>
      <c r="CX36" s="41">
        <v>1</v>
      </c>
      <c r="CY36" s="41">
        <v>1</v>
      </c>
      <c r="CZ36" s="41">
        <v>1</v>
      </c>
      <c r="DA36" s="41">
        <v>1</v>
      </c>
      <c r="DB36" s="41">
        <v>1</v>
      </c>
      <c r="DC36" s="41">
        <v>1</v>
      </c>
      <c r="DD36" s="41">
        <v>1</v>
      </c>
      <c r="DE36" s="41">
        <v>1</v>
      </c>
      <c r="DF36" s="41">
        <v>1</v>
      </c>
      <c r="DG36" s="41">
        <v>1</v>
      </c>
      <c r="DH36" s="41">
        <v>1</v>
      </c>
      <c r="DI36" s="41">
        <v>1</v>
      </c>
      <c r="DJ36" s="41">
        <v>1</v>
      </c>
      <c r="DK36" s="41">
        <v>1</v>
      </c>
      <c r="DL36" s="41">
        <v>1</v>
      </c>
      <c r="DM36" s="41">
        <v>1</v>
      </c>
      <c r="DN36" s="41">
        <v>1</v>
      </c>
      <c r="DP36" s="145">
        <f t="shared" si="169"/>
        <v>1</v>
      </c>
      <c r="DQ36" s="145">
        <v>4.8600000000000003</v>
      </c>
      <c r="DR36" s="145">
        <v>4.88</v>
      </c>
      <c r="DS36" s="145">
        <v>4.88</v>
      </c>
      <c r="DT36" s="145">
        <v>4.9000000000000004</v>
      </c>
      <c r="DU36" s="145">
        <v>5</v>
      </c>
      <c r="DV36" s="41">
        <v>4.9800000000000004</v>
      </c>
      <c r="DW36" s="41">
        <v>1</v>
      </c>
      <c r="DX36" s="41">
        <v>1</v>
      </c>
      <c r="DY36" s="41">
        <v>1</v>
      </c>
      <c r="DZ36" s="41">
        <v>1</v>
      </c>
      <c r="EA36" s="41">
        <v>1</v>
      </c>
      <c r="EB36" s="41">
        <v>1</v>
      </c>
      <c r="EC36" s="41">
        <v>1</v>
      </c>
      <c r="ED36" s="41">
        <v>1</v>
      </c>
      <c r="EE36" s="41">
        <v>1</v>
      </c>
      <c r="EF36" s="41">
        <v>1</v>
      </c>
      <c r="EG36" s="41">
        <v>1</v>
      </c>
      <c r="EH36" s="41">
        <v>1</v>
      </c>
      <c r="EI36" s="41">
        <v>1</v>
      </c>
      <c r="EJ36" s="41">
        <v>1</v>
      </c>
      <c r="EK36" s="41">
        <v>1</v>
      </c>
      <c r="EL36" s="41">
        <v>1</v>
      </c>
      <c r="EM36" s="41">
        <v>1</v>
      </c>
      <c r="EN36" s="41">
        <v>1</v>
      </c>
      <c r="EO36" s="41">
        <v>1</v>
      </c>
      <c r="EP36" s="41">
        <v>1</v>
      </c>
      <c r="EQ36" s="41">
        <v>1</v>
      </c>
      <c r="ER36" s="41">
        <v>1</v>
      </c>
      <c r="ES36" s="41">
        <v>1</v>
      </c>
      <c r="ET36" s="41">
        <v>1</v>
      </c>
      <c r="EV36" s="145">
        <f t="shared" si="170"/>
        <v>1</v>
      </c>
      <c r="EW36" s="145">
        <v>4.37</v>
      </c>
      <c r="EX36" s="145">
        <v>4.37</v>
      </c>
      <c r="EY36" s="145">
        <v>4.37</v>
      </c>
      <c r="EZ36" s="145">
        <v>4.3899999999999997</v>
      </c>
      <c r="FA36" s="145">
        <v>4.4800000000000004</v>
      </c>
      <c r="FB36" s="41">
        <v>4.46</v>
      </c>
      <c r="FC36" s="41">
        <v>1</v>
      </c>
      <c r="FD36" s="41">
        <v>1</v>
      </c>
      <c r="FE36" s="41">
        <v>1</v>
      </c>
      <c r="FF36" s="41">
        <v>1</v>
      </c>
      <c r="FG36" s="41">
        <v>1</v>
      </c>
      <c r="FH36" s="41">
        <v>1</v>
      </c>
      <c r="FI36" s="41">
        <v>1</v>
      </c>
      <c r="FJ36" s="41">
        <v>1</v>
      </c>
      <c r="FK36" s="41">
        <v>1</v>
      </c>
      <c r="FL36" s="41">
        <v>1</v>
      </c>
      <c r="FM36" s="41">
        <v>1</v>
      </c>
      <c r="FN36" s="41">
        <v>1</v>
      </c>
      <c r="FO36" s="41">
        <v>1</v>
      </c>
      <c r="FP36" s="41">
        <v>1</v>
      </c>
      <c r="FQ36" s="41">
        <v>1</v>
      </c>
      <c r="FR36" s="41">
        <v>1</v>
      </c>
      <c r="FS36" s="41">
        <v>1</v>
      </c>
      <c r="FT36" s="41">
        <v>1</v>
      </c>
      <c r="FU36" s="41">
        <v>1</v>
      </c>
      <c r="FV36" s="41">
        <v>1</v>
      </c>
      <c r="FW36" s="41">
        <v>1</v>
      </c>
      <c r="FX36" s="41">
        <v>1</v>
      </c>
      <c r="FY36" s="41">
        <v>1</v>
      </c>
      <c r="FZ36" s="41">
        <v>1</v>
      </c>
      <c r="GB36" s="145">
        <f t="shared" si="171"/>
        <v>1</v>
      </c>
      <c r="GC36" s="145">
        <v>10.38</v>
      </c>
      <c r="GD36" s="145">
        <v>10.32</v>
      </c>
      <c r="GE36" s="145">
        <v>10.32</v>
      </c>
      <c r="GF36" s="145">
        <v>10.36</v>
      </c>
      <c r="GG36" s="145">
        <v>10.58</v>
      </c>
      <c r="GH36" s="41">
        <v>10.54</v>
      </c>
      <c r="GI36" s="41">
        <v>1</v>
      </c>
      <c r="GJ36" s="41">
        <v>1</v>
      </c>
      <c r="GK36" s="41">
        <v>1</v>
      </c>
      <c r="GL36" s="41">
        <v>1</v>
      </c>
      <c r="GM36" s="41">
        <v>1</v>
      </c>
      <c r="GN36" s="41">
        <v>1</v>
      </c>
      <c r="GO36" s="41">
        <v>1</v>
      </c>
      <c r="GP36" s="41">
        <v>1</v>
      </c>
      <c r="GQ36" s="41">
        <v>1</v>
      </c>
      <c r="GR36" s="41">
        <v>1</v>
      </c>
      <c r="GS36" s="41">
        <v>1</v>
      </c>
      <c r="GT36" s="41">
        <v>1</v>
      </c>
      <c r="GU36" s="41">
        <v>1</v>
      </c>
      <c r="GV36" s="41">
        <v>1</v>
      </c>
      <c r="GW36" s="41">
        <v>1</v>
      </c>
      <c r="GX36" s="41">
        <v>1</v>
      </c>
      <c r="GY36" s="41">
        <v>1</v>
      </c>
      <c r="GZ36" s="41">
        <v>1</v>
      </c>
      <c r="HA36" s="41">
        <v>1</v>
      </c>
      <c r="HB36" s="41">
        <v>1</v>
      </c>
      <c r="HC36" s="41">
        <v>1</v>
      </c>
      <c r="HD36" s="41">
        <v>1</v>
      </c>
      <c r="HE36" s="41">
        <v>1</v>
      </c>
      <c r="HF36" s="41">
        <v>1</v>
      </c>
      <c r="HH36" s="373">
        <v>1</v>
      </c>
      <c r="HI36" s="218">
        <v>0.94</v>
      </c>
      <c r="HJ36" s="229">
        <v>0.94</v>
      </c>
      <c r="HK36" s="229">
        <v>0.94</v>
      </c>
      <c r="HM36" s="373">
        <f t="shared" si="173"/>
        <v>1</v>
      </c>
      <c r="HN36" s="145">
        <v>1</v>
      </c>
    </row>
    <row r="37" spans="1:225" ht="12.75" hidden="1" customHeight="1" x14ac:dyDescent="0.2">
      <c r="A37" s="373">
        <f t="shared" si="172"/>
        <v>33</v>
      </c>
      <c r="B37" s="149" t="s">
        <v>147</v>
      </c>
      <c r="C37" s="150">
        <v>0.97799999999999998</v>
      </c>
      <c r="D37" s="150">
        <v>0.98</v>
      </c>
      <c r="E37" s="150">
        <v>0.98499999999999999</v>
      </c>
      <c r="F37" s="150">
        <v>0.92500000000000004</v>
      </c>
      <c r="G37" s="150"/>
      <c r="H37" s="226">
        <f ca="1">OFFSET($HH37,0,'Расчет стоимости'!$M$10,1,1)</f>
        <v>0.94</v>
      </c>
      <c r="I37" s="150">
        <v>1</v>
      </c>
      <c r="J37" s="150">
        <v>1</v>
      </c>
      <c r="K37" s="149">
        <v>1</v>
      </c>
      <c r="L37" s="149">
        <v>1</v>
      </c>
      <c r="M37" s="372">
        <v>2.1000000000000001E-2</v>
      </c>
      <c r="N37" s="145">
        <v>1.9E-2</v>
      </c>
      <c r="O37" s="145">
        <v>0.01</v>
      </c>
      <c r="P37" s="145">
        <v>3.2000000000000001E-2</v>
      </c>
      <c r="Q37" s="145">
        <v>0</v>
      </c>
      <c r="R37" s="152" t="s">
        <v>234</v>
      </c>
      <c r="T37" s="225">
        <f t="shared" si="174"/>
        <v>1</v>
      </c>
      <c r="U37" s="225">
        <f t="shared" si="174"/>
        <v>1</v>
      </c>
      <c r="V37" s="225">
        <f t="shared" si="174"/>
        <v>1</v>
      </c>
      <c r="W37" s="225">
        <f t="shared" si="174"/>
        <v>1</v>
      </c>
      <c r="X37" s="145">
        <f t="shared" si="166"/>
        <v>1</v>
      </c>
      <c r="Y37" s="145">
        <v>5.9</v>
      </c>
      <c r="Z37" s="145">
        <v>5.93</v>
      </c>
      <c r="AA37" s="145">
        <v>5.93</v>
      </c>
      <c r="AB37" s="145">
        <v>5.95</v>
      </c>
      <c r="AC37" s="145">
        <v>6.07</v>
      </c>
      <c r="AD37" s="41">
        <v>6.05</v>
      </c>
      <c r="AE37" s="41">
        <v>1</v>
      </c>
      <c r="AF37" s="41">
        <v>1</v>
      </c>
      <c r="AG37" s="41">
        <v>1</v>
      </c>
      <c r="AH37" s="41">
        <v>1</v>
      </c>
      <c r="AI37" s="41">
        <v>1</v>
      </c>
      <c r="AJ37" s="41">
        <v>1</v>
      </c>
      <c r="AK37" s="41">
        <v>1</v>
      </c>
      <c r="AL37" s="41">
        <v>1</v>
      </c>
      <c r="AM37" s="41">
        <v>1</v>
      </c>
      <c r="AN37" s="41">
        <v>1</v>
      </c>
      <c r="AO37" s="41">
        <v>1</v>
      </c>
      <c r="AP37" s="41">
        <v>1</v>
      </c>
      <c r="AQ37" s="41">
        <v>1</v>
      </c>
      <c r="AR37" s="41">
        <v>1</v>
      </c>
      <c r="AS37" s="41">
        <v>1</v>
      </c>
      <c r="AT37" s="41">
        <v>1</v>
      </c>
      <c r="AU37" s="41">
        <v>1</v>
      </c>
      <c r="AV37" s="41">
        <v>1</v>
      </c>
      <c r="AW37" s="41">
        <v>1</v>
      </c>
      <c r="AX37" s="41">
        <v>1</v>
      </c>
      <c r="AY37" s="41">
        <v>1</v>
      </c>
      <c r="AZ37" s="41">
        <v>1</v>
      </c>
      <c r="BA37" s="41">
        <v>1</v>
      </c>
      <c r="BB37" s="41">
        <v>1</v>
      </c>
      <c r="BD37" s="145">
        <f t="shared" si="167"/>
        <v>1</v>
      </c>
      <c r="BE37" s="145">
        <v>3.39</v>
      </c>
      <c r="BF37" s="145">
        <v>3.44</v>
      </c>
      <c r="BG37" s="145">
        <v>3.44</v>
      </c>
      <c r="BH37" s="145">
        <v>3.45</v>
      </c>
      <c r="BI37" s="145">
        <v>3.52</v>
      </c>
      <c r="BJ37" s="41">
        <v>3.51</v>
      </c>
      <c r="BK37" s="41">
        <v>1</v>
      </c>
      <c r="BL37" s="41">
        <v>1</v>
      </c>
      <c r="BM37" s="41">
        <v>1</v>
      </c>
      <c r="BN37" s="41">
        <v>1</v>
      </c>
      <c r="BO37" s="41">
        <v>1</v>
      </c>
      <c r="BP37" s="41">
        <v>1</v>
      </c>
      <c r="BQ37" s="41">
        <v>1</v>
      </c>
      <c r="BR37" s="41">
        <v>1</v>
      </c>
      <c r="BS37" s="41">
        <v>1</v>
      </c>
      <c r="BT37" s="41">
        <v>1</v>
      </c>
      <c r="BU37" s="41">
        <v>1</v>
      </c>
      <c r="BV37" s="41">
        <v>1</v>
      </c>
      <c r="BW37" s="41">
        <v>1</v>
      </c>
      <c r="BX37" s="41">
        <v>1</v>
      </c>
      <c r="BY37" s="41">
        <v>1</v>
      </c>
      <c r="BZ37" s="41">
        <v>1</v>
      </c>
      <c r="CA37" s="41">
        <v>1</v>
      </c>
      <c r="CB37" s="41">
        <v>1</v>
      </c>
      <c r="CC37" s="41">
        <v>1</v>
      </c>
      <c r="CD37" s="41">
        <v>1</v>
      </c>
      <c r="CE37" s="41">
        <v>1</v>
      </c>
      <c r="CF37" s="41">
        <v>1</v>
      </c>
      <c r="CG37" s="41">
        <v>1</v>
      </c>
      <c r="CH37" s="41">
        <v>1</v>
      </c>
      <c r="CJ37" s="145">
        <f t="shared" si="168"/>
        <v>1</v>
      </c>
      <c r="CK37" s="145">
        <v>3.69</v>
      </c>
      <c r="CL37" s="145">
        <v>3.78</v>
      </c>
      <c r="CM37" s="145">
        <v>3.78</v>
      </c>
      <c r="CN37" s="145">
        <v>3.9</v>
      </c>
      <c r="CO37" s="145">
        <v>3.88</v>
      </c>
      <c r="CP37" s="41">
        <v>3.86</v>
      </c>
      <c r="CQ37" s="41">
        <v>1</v>
      </c>
      <c r="CR37" s="41">
        <v>1</v>
      </c>
      <c r="CS37" s="41">
        <v>1</v>
      </c>
      <c r="CT37" s="41">
        <v>1</v>
      </c>
      <c r="CU37" s="41">
        <v>1</v>
      </c>
      <c r="CV37" s="41">
        <v>1</v>
      </c>
      <c r="CW37" s="41">
        <v>1</v>
      </c>
      <c r="CX37" s="41">
        <v>1</v>
      </c>
      <c r="CY37" s="41">
        <v>1</v>
      </c>
      <c r="CZ37" s="41">
        <v>1</v>
      </c>
      <c r="DA37" s="41">
        <v>1</v>
      </c>
      <c r="DB37" s="41">
        <v>1</v>
      </c>
      <c r="DC37" s="41">
        <v>1</v>
      </c>
      <c r="DD37" s="41">
        <v>1</v>
      </c>
      <c r="DE37" s="41">
        <v>1</v>
      </c>
      <c r="DF37" s="41">
        <v>1</v>
      </c>
      <c r="DG37" s="41">
        <v>1</v>
      </c>
      <c r="DH37" s="41">
        <v>1</v>
      </c>
      <c r="DI37" s="41">
        <v>1</v>
      </c>
      <c r="DJ37" s="41">
        <v>1</v>
      </c>
      <c r="DK37" s="41">
        <v>1</v>
      </c>
      <c r="DL37" s="41">
        <v>1</v>
      </c>
      <c r="DM37" s="41">
        <v>1</v>
      </c>
      <c r="DN37" s="41">
        <v>1</v>
      </c>
      <c r="DP37" s="145">
        <f t="shared" si="169"/>
        <v>1</v>
      </c>
      <c r="DQ37" s="145">
        <v>4.3</v>
      </c>
      <c r="DR37" s="145">
        <v>4.37</v>
      </c>
      <c r="DS37" s="145">
        <v>4.37</v>
      </c>
      <c r="DT37" s="145">
        <v>4.3899999999999997</v>
      </c>
      <c r="DU37" s="145">
        <v>4.4800000000000004</v>
      </c>
      <c r="DV37" s="41">
        <v>4.46</v>
      </c>
      <c r="DW37" s="41">
        <v>1</v>
      </c>
      <c r="DX37" s="41">
        <v>1</v>
      </c>
      <c r="DY37" s="41">
        <v>1</v>
      </c>
      <c r="DZ37" s="41">
        <v>1</v>
      </c>
      <c r="EA37" s="41">
        <v>1</v>
      </c>
      <c r="EB37" s="41">
        <v>1</v>
      </c>
      <c r="EC37" s="41">
        <v>1</v>
      </c>
      <c r="ED37" s="41">
        <v>1</v>
      </c>
      <c r="EE37" s="41">
        <v>1</v>
      </c>
      <c r="EF37" s="41">
        <v>1</v>
      </c>
      <c r="EG37" s="41">
        <v>1</v>
      </c>
      <c r="EH37" s="41">
        <v>1</v>
      </c>
      <c r="EI37" s="41">
        <v>1</v>
      </c>
      <c r="EJ37" s="41">
        <v>1</v>
      </c>
      <c r="EK37" s="41">
        <v>1</v>
      </c>
      <c r="EL37" s="41">
        <v>1</v>
      </c>
      <c r="EM37" s="41">
        <v>1</v>
      </c>
      <c r="EN37" s="41">
        <v>1</v>
      </c>
      <c r="EO37" s="41">
        <v>1</v>
      </c>
      <c r="EP37" s="41">
        <v>1</v>
      </c>
      <c r="EQ37" s="41">
        <v>1</v>
      </c>
      <c r="ER37" s="41">
        <v>1</v>
      </c>
      <c r="ES37" s="41">
        <v>1</v>
      </c>
      <c r="ET37" s="41">
        <v>1</v>
      </c>
      <c r="EV37" s="145">
        <f t="shared" si="170"/>
        <v>1</v>
      </c>
      <c r="EW37" s="145">
        <v>4.22</v>
      </c>
      <c r="EX37" s="145">
        <v>4.28</v>
      </c>
      <c r="EY37" s="145">
        <v>4.28</v>
      </c>
      <c r="EZ37" s="145">
        <v>4.3</v>
      </c>
      <c r="FA37" s="145">
        <v>4.3899999999999997</v>
      </c>
      <c r="FB37" s="41">
        <v>4.37</v>
      </c>
      <c r="FC37" s="41">
        <v>1</v>
      </c>
      <c r="FD37" s="41">
        <v>1</v>
      </c>
      <c r="FE37" s="41">
        <v>1</v>
      </c>
      <c r="FF37" s="41">
        <v>1</v>
      </c>
      <c r="FG37" s="41">
        <v>1</v>
      </c>
      <c r="FH37" s="41">
        <v>1</v>
      </c>
      <c r="FI37" s="41">
        <v>1</v>
      </c>
      <c r="FJ37" s="41">
        <v>1</v>
      </c>
      <c r="FK37" s="41">
        <v>1</v>
      </c>
      <c r="FL37" s="41">
        <v>1</v>
      </c>
      <c r="FM37" s="41">
        <v>1</v>
      </c>
      <c r="FN37" s="41">
        <v>1</v>
      </c>
      <c r="FO37" s="41">
        <v>1</v>
      </c>
      <c r="FP37" s="41">
        <v>1</v>
      </c>
      <c r="FQ37" s="41">
        <v>1</v>
      </c>
      <c r="FR37" s="41">
        <v>1</v>
      </c>
      <c r="FS37" s="41">
        <v>1</v>
      </c>
      <c r="FT37" s="41">
        <v>1</v>
      </c>
      <c r="FU37" s="41">
        <v>1</v>
      </c>
      <c r="FV37" s="41">
        <v>1</v>
      </c>
      <c r="FW37" s="41">
        <v>1</v>
      </c>
      <c r="FX37" s="41">
        <v>1</v>
      </c>
      <c r="FY37" s="41">
        <v>1</v>
      </c>
      <c r="FZ37" s="41">
        <v>1</v>
      </c>
      <c r="GB37" s="145">
        <f t="shared" si="171"/>
        <v>1</v>
      </c>
      <c r="GC37" s="145">
        <v>10.94</v>
      </c>
      <c r="GD37" s="145">
        <v>10.97</v>
      </c>
      <c r="GE37" s="145">
        <v>10.97</v>
      </c>
      <c r="GF37" s="145">
        <v>11.01</v>
      </c>
      <c r="GG37" s="145">
        <v>11.24</v>
      </c>
      <c r="GH37" s="41">
        <v>11.2</v>
      </c>
      <c r="GI37" s="41">
        <v>1</v>
      </c>
      <c r="GJ37" s="41">
        <v>1</v>
      </c>
      <c r="GK37" s="41">
        <v>1</v>
      </c>
      <c r="GL37" s="41">
        <v>1</v>
      </c>
      <c r="GM37" s="41">
        <v>1</v>
      </c>
      <c r="GN37" s="41">
        <v>1</v>
      </c>
      <c r="GO37" s="41">
        <v>1</v>
      </c>
      <c r="GP37" s="41">
        <v>1</v>
      </c>
      <c r="GQ37" s="41">
        <v>1</v>
      </c>
      <c r="GR37" s="41">
        <v>1</v>
      </c>
      <c r="GS37" s="41">
        <v>1</v>
      </c>
      <c r="GT37" s="41">
        <v>1</v>
      </c>
      <c r="GU37" s="41">
        <v>1</v>
      </c>
      <c r="GV37" s="41">
        <v>1</v>
      </c>
      <c r="GW37" s="41">
        <v>1</v>
      </c>
      <c r="GX37" s="41">
        <v>1</v>
      </c>
      <c r="GY37" s="41">
        <v>1</v>
      </c>
      <c r="GZ37" s="41">
        <v>1</v>
      </c>
      <c r="HA37" s="41">
        <v>1</v>
      </c>
      <c r="HB37" s="41">
        <v>1</v>
      </c>
      <c r="HC37" s="41">
        <v>1</v>
      </c>
      <c r="HD37" s="41">
        <v>1</v>
      </c>
      <c r="HE37" s="41">
        <v>1</v>
      </c>
      <c r="HF37" s="41">
        <v>1</v>
      </c>
      <c r="HH37" s="373">
        <v>1</v>
      </c>
      <c r="HI37" s="218">
        <v>0.94</v>
      </c>
      <c r="HJ37" s="229">
        <v>0.94</v>
      </c>
      <c r="HK37" s="229">
        <v>0.94</v>
      </c>
      <c r="HM37" s="373">
        <f t="shared" si="173"/>
        <v>1</v>
      </c>
      <c r="HN37" s="145">
        <v>1</v>
      </c>
    </row>
    <row r="38" spans="1:225" ht="12.75" hidden="1" customHeight="1" x14ac:dyDescent="0.2">
      <c r="A38" s="373">
        <f t="shared" si="172"/>
        <v>34</v>
      </c>
      <c r="B38" s="149" t="s">
        <v>144</v>
      </c>
      <c r="C38" s="150">
        <v>1.0189999999999999</v>
      </c>
      <c r="D38" s="150">
        <v>1.095</v>
      </c>
      <c r="E38" s="150">
        <v>0.77500000000000002</v>
      </c>
      <c r="F38" s="150">
        <v>0.95299999999999996</v>
      </c>
      <c r="G38" s="150"/>
      <c r="H38" s="226">
        <f ca="1">OFFSET($HH38,0,'Расчет стоимости'!$M$10,1,1)</f>
        <v>1</v>
      </c>
      <c r="I38" s="150">
        <v>1</v>
      </c>
      <c r="J38" s="150">
        <v>1</v>
      </c>
      <c r="K38" s="149">
        <v>1</v>
      </c>
      <c r="L38" s="149">
        <v>1</v>
      </c>
      <c r="M38" s="372">
        <v>1.2E-2</v>
      </c>
      <c r="N38" s="145">
        <v>0.01</v>
      </c>
      <c r="O38" s="145">
        <v>6.0000000000000001E-3</v>
      </c>
      <c r="P38" s="145">
        <v>1.6E-2</v>
      </c>
      <c r="Q38" s="145">
        <v>0</v>
      </c>
      <c r="R38" s="152" t="s">
        <v>241</v>
      </c>
      <c r="T38" s="225">
        <f t="shared" si="174"/>
        <v>1</v>
      </c>
      <c r="U38" s="225">
        <f t="shared" si="174"/>
        <v>1</v>
      </c>
      <c r="V38" s="225">
        <f t="shared" si="174"/>
        <v>1</v>
      </c>
      <c r="W38" s="225">
        <f t="shared" si="174"/>
        <v>1</v>
      </c>
      <c r="X38" s="145">
        <f t="shared" ref="X38:X69" si="175">HLOOKUP($X$4,Y$5:BB$91,$A38,FALSE)</f>
        <v>1</v>
      </c>
      <c r="Y38" s="145">
        <v>5.68</v>
      </c>
      <c r="Z38" s="145">
        <v>5.83</v>
      </c>
      <c r="AA38" s="145">
        <v>5.83</v>
      </c>
      <c r="AB38" s="145">
        <v>5.85</v>
      </c>
      <c r="AC38" s="145">
        <v>5.97</v>
      </c>
      <c r="AD38" s="41">
        <v>5.95</v>
      </c>
      <c r="AE38" s="41">
        <v>1</v>
      </c>
      <c r="AF38" s="41">
        <v>1</v>
      </c>
      <c r="AG38" s="41">
        <v>1</v>
      </c>
      <c r="AH38" s="41">
        <v>1</v>
      </c>
      <c r="AI38" s="41">
        <v>1</v>
      </c>
      <c r="AJ38" s="41">
        <v>1</v>
      </c>
      <c r="AK38" s="41">
        <v>1</v>
      </c>
      <c r="AL38" s="41">
        <v>1</v>
      </c>
      <c r="AM38" s="41">
        <v>1</v>
      </c>
      <c r="AN38" s="41">
        <v>1</v>
      </c>
      <c r="AO38" s="41">
        <v>1</v>
      </c>
      <c r="AP38" s="41">
        <v>1</v>
      </c>
      <c r="AQ38" s="41">
        <v>1</v>
      </c>
      <c r="AR38" s="41">
        <v>1</v>
      </c>
      <c r="AS38" s="41">
        <v>1</v>
      </c>
      <c r="AT38" s="41">
        <v>1</v>
      </c>
      <c r="AU38" s="41">
        <v>1</v>
      </c>
      <c r="AV38" s="41">
        <v>1</v>
      </c>
      <c r="AW38" s="41">
        <v>1</v>
      </c>
      <c r="AX38" s="41">
        <v>1</v>
      </c>
      <c r="AY38" s="41">
        <v>1</v>
      </c>
      <c r="AZ38" s="41">
        <v>1</v>
      </c>
      <c r="BA38" s="41">
        <v>1</v>
      </c>
      <c r="BB38" s="41">
        <v>1</v>
      </c>
      <c r="BD38" s="145">
        <f t="shared" ref="BD38:BD69" si="176">HLOOKUP($BD$4,BE$5:CH$91,$A38,FALSE)</f>
        <v>1</v>
      </c>
      <c r="BE38" s="145">
        <v>3.49</v>
      </c>
      <c r="BF38" s="145">
        <v>3.58</v>
      </c>
      <c r="BG38" s="145">
        <v>3.58</v>
      </c>
      <c r="BH38" s="145">
        <v>3.59</v>
      </c>
      <c r="BI38" s="145">
        <v>3.67</v>
      </c>
      <c r="BJ38" s="41">
        <v>3.66</v>
      </c>
      <c r="BK38" s="41">
        <v>1</v>
      </c>
      <c r="BL38" s="41">
        <v>1</v>
      </c>
      <c r="BM38" s="41">
        <v>1</v>
      </c>
      <c r="BN38" s="41">
        <v>1</v>
      </c>
      <c r="BO38" s="41">
        <v>1</v>
      </c>
      <c r="BP38" s="41">
        <v>1</v>
      </c>
      <c r="BQ38" s="41">
        <v>1</v>
      </c>
      <c r="BR38" s="41">
        <v>1</v>
      </c>
      <c r="BS38" s="41">
        <v>1</v>
      </c>
      <c r="BT38" s="41">
        <v>1</v>
      </c>
      <c r="BU38" s="41">
        <v>1</v>
      </c>
      <c r="BV38" s="41">
        <v>1</v>
      </c>
      <c r="BW38" s="41">
        <v>1</v>
      </c>
      <c r="BX38" s="41">
        <v>1</v>
      </c>
      <c r="BY38" s="41">
        <v>1</v>
      </c>
      <c r="BZ38" s="41">
        <v>1</v>
      </c>
      <c r="CA38" s="41">
        <v>1</v>
      </c>
      <c r="CB38" s="41">
        <v>1</v>
      </c>
      <c r="CC38" s="41">
        <v>1</v>
      </c>
      <c r="CD38" s="41">
        <v>1</v>
      </c>
      <c r="CE38" s="41">
        <v>1</v>
      </c>
      <c r="CF38" s="41">
        <v>1</v>
      </c>
      <c r="CG38" s="41">
        <v>1</v>
      </c>
      <c r="CH38" s="41">
        <v>1</v>
      </c>
      <c r="CJ38" s="145">
        <f t="shared" ref="CJ38:CJ69" si="177">HLOOKUP($CJ$4,CK$5:DN$91,$A38,FALSE)</f>
        <v>1</v>
      </c>
      <c r="CK38" s="145">
        <v>3.85</v>
      </c>
      <c r="CL38" s="145">
        <v>3.94</v>
      </c>
      <c r="CM38" s="145">
        <v>3.94</v>
      </c>
      <c r="CN38" s="145">
        <v>3.96</v>
      </c>
      <c r="CO38" s="145">
        <v>4.04</v>
      </c>
      <c r="CP38" s="41">
        <v>4.0199999999999996</v>
      </c>
      <c r="CQ38" s="41">
        <v>1</v>
      </c>
      <c r="CR38" s="41">
        <v>1</v>
      </c>
      <c r="CS38" s="41">
        <v>1</v>
      </c>
      <c r="CT38" s="41">
        <v>1</v>
      </c>
      <c r="CU38" s="41">
        <v>1</v>
      </c>
      <c r="CV38" s="41">
        <v>1</v>
      </c>
      <c r="CW38" s="41">
        <v>1</v>
      </c>
      <c r="CX38" s="41">
        <v>1</v>
      </c>
      <c r="CY38" s="41">
        <v>1</v>
      </c>
      <c r="CZ38" s="41">
        <v>1</v>
      </c>
      <c r="DA38" s="41">
        <v>1</v>
      </c>
      <c r="DB38" s="41">
        <v>1</v>
      </c>
      <c r="DC38" s="41">
        <v>1</v>
      </c>
      <c r="DD38" s="41">
        <v>1</v>
      </c>
      <c r="DE38" s="41">
        <v>1</v>
      </c>
      <c r="DF38" s="41">
        <v>1</v>
      </c>
      <c r="DG38" s="41">
        <v>1</v>
      </c>
      <c r="DH38" s="41">
        <v>1</v>
      </c>
      <c r="DI38" s="41">
        <v>1</v>
      </c>
      <c r="DJ38" s="41">
        <v>1</v>
      </c>
      <c r="DK38" s="41">
        <v>1</v>
      </c>
      <c r="DL38" s="41">
        <v>1</v>
      </c>
      <c r="DM38" s="41">
        <v>1</v>
      </c>
      <c r="DN38" s="41">
        <v>1</v>
      </c>
      <c r="DP38" s="145">
        <f t="shared" ref="DP38:DP69" si="178">HLOOKUP($DP$4,DQ$5:ET$91,$A38,FALSE)</f>
        <v>1</v>
      </c>
      <c r="DQ38" s="145">
        <v>3.9</v>
      </c>
      <c r="DR38" s="145">
        <v>3.94</v>
      </c>
      <c r="DS38" s="145">
        <v>3.94</v>
      </c>
      <c r="DT38" s="145">
        <v>3.96</v>
      </c>
      <c r="DU38" s="145">
        <v>4.04</v>
      </c>
      <c r="DV38" s="41">
        <v>4.0199999999999996</v>
      </c>
      <c r="DW38" s="41">
        <v>1</v>
      </c>
      <c r="DX38" s="41">
        <v>1</v>
      </c>
      <c r="DY38" s="41">
        <v>1</v>
      </c>
      <c r="DZ38" s="41">
        <v>1</v>
      </c>
      <c r="EA38" s="41">
        <v>1</v>
      </c>
      <c r="EB38" s="41">
        <v>1</v>
      </c>
      <c r="EC38" s="41">
        <v>1</v>
      </c>
      <c r="ED38" s="41">
        <v>1</v>
      </c>
      <c r="EE38" s="41">
        <v>1</v>
      </c>
      <c r="EF38" s="41">
        <v>1</v>
      </c>
      <c r="EG38" s="41">
        <v>1</v>
      </c>
      <c r="EH38" s="41">
        <v>1</v>
      </c>
      <c r="EI38" s="41">
        <v>1</v>
      </c>
      <c r="EJ38" s="41">
        <v>1</v>
      </c>
      <c r="EK38" s="41">
        <v>1</v>
      </c>
      <c r="EL38" s="41">
        <v>1</v>
      </c>
      <c r="EM38" s="41">
        <v>1</v>
      </c>
      <c r="EN38" s="41">
        <v>1</v>
      </c>
      <c r="EO38" s="41">
        <v>1</v>
      </c>
      <c r="EP38" s="41">
        <v>1</v>
      </c>
      <c r="EQ38" s="41">
        <v>1</v>
      </c>
      <c r="ER38" s="41">
        <v>1</v>
      </c>
      <c r="ES38" s="41">
        <v>1</v>
      </c>
      <c r="ET38" s="41">
        <v>1</v>
      </c>
      <c r="EV38" s="145">
        <f t="shared" ref="EV38:EV69" si="179">HLOOKUP($EV$4,EW$5:FZ$91,$A38,FALSE)</f>
        <v>1</v>
      </c>
      <c r="EW38" s="145">
        <v>3.96</v>
      </c>
      <c r="EX38" s="145">
        <v>4.0599999999999996</v>
      </c>
      <c r="EY38" s="145">
        <v>4.0599999999999996</v>
      </c>
      <c r="EZ38" s="145">
        <v>4.08</v>
      </c>
      <c r="FA38" s="145">
        <v>4.17</v>
      </c>
      <c r="FB38" s="41">
        <v>4.1500000000000004</v>
      </c>
      <c r="FC38" s="41">
        <v>1</v>
      </c>
      <c r="FD38" s="41">
        <v>1</v>
      </c>
      <c r="FE38" s="41">
        <v>1</v>
      </c>
      <c r="FF38" s="41">
        <v>1</v>
      </c>
      <c r="FG38" s="41">
        <v>1</v>
      </c>
      <c r="FH38" s="41">
        <v>1</v>
      </c>
      <c r="FI38" s="41">
        <v>1</v>
      </c>
      <c r="FJ38" s="41">
        <v>1</v>
      </c>
      <c r="FK38" s="41">
        <v>1</v>
      </c>
      <c r="FL38" s="41">
        <v>1</v>
      </c>
      <c r="FM38" s="41">
        <v>1</v>
      </c>
      <c r="FN38" s="41">
        <v>1</v>
      </c>
      <c r="FO38" s="41">
        <v>1</v>
      </c>
      <c r="FP38" s="41">
        <v>1</v>
      </c>
      <c r="FQ38" s="41">
        <v>1</v>
      </c>
      <c r="FR38" s="41">
        <v>1</v>
      </c>
      <c r="FS38" s="41">
        <v>1</v>
      </c>
      <c r="FT38" s="41">
        <v>1</v>
      </c>
      <c r="FU38" s="41">
        <v>1</v>
      </c>
      <c r="FV38" s="41">
        <v>1</v>
      </c>
      <c r="FW38" s="41">
        <v>1</v>
      </c>
      <c r="FX38" s="41">
        <v>1</v>
      </c>
      <c r="FY38" s="41">
        <v>1</v>
      </c>
      <c r="FZ38" s="41">
        <v>1</v>
      </c>
      <c r="GB38" s="145">
        <f t="shared" ref="GB38:GB69" si="180">HLOOKUP($GB$4,GC$5:HF$91,$A38,FALSE)</f>
        <v>1</v>
      </c>
      <c r="GC38" s="145">
        <v>9.08</v>
      </c>
      <c r="GD38" s="145">
        <v>9.3000000000000007</v>
      </c>
      <c r="GE38" s="145">
        <v>9.3000000000000007</v>
      </c>
      <c r="GF38" s="145">
        <v>9.34</v>
      </c>
      <c r="GG38" s="145">
        <v>9.5399999999999991</v>
      </c>
      <c r="GH38" s="41">
        <v>9.5</v>
      </c>
      <c r="GI38" s="41">
        <v>1</v>
      </c>
      <c r="GJ38" s="41">
        <v>1</v>
      </c>
      <c r="GK38" s="41">
        <v>1</v>
      </c>
      <c r="GL38" s="41">
        <v>1</v>
      </c>
      <c r="GM38" s="41">
        <v>1</v>
      </c>
      <c r="GN38" s="41">
        <v>1</v>
      </c>
      <c r="GO38" s="41">
        <v>1</v>
      </c>
      <c r="GP38" s="41">
        <v>1</v>
      </c>
      <c r="GQ38" s="41">
        <v>1</v>
      </c>
      <c r="GR38" s="41">
        <v>1</v>
      </c>
      <c r="GS38" s="41">
        <v>1</v>
      </c>
      <c r="GT38" s="41">
        <v>1</v>
      </c>
      <c r="GU38" s="41">
        <v>1</v>
      </c>
      <c r="GV38" s="41">
        <v>1</v>
      </c>
      <c r="GW38" s="41">
        <v>1</v>
      </c>
      <c r="GX38" s="41">
        <v>1</v>
      </c>
      <c r="GY38" s="41">
        <v>1</v>
      </c>
      <c r="GZ38" s="41">
        <v>1</v>
      </c>
      <c r="HA38" s="41">
        <v>1</v>
      </c>
      <c r="HB38" s="41">
        <v>1</v>
      </c>
      <c r="HC38" s="41">
        <v>1</v>
      </c>
      <c r="HD38" s="41">
        <v>1</v>
      </c>
      <c r="HE38" s="41">
        <v>1</v>
      </c>
      <c r="HF38" s="41">
        <v>1</v>
      </c>
      <c r="HH38" s="373">
        <v>1</v>
      </c>
      <c r="HI38" s="218">
        <v>1</v>
      </c>
      <c r="HJ38" s="229">
        <v>1</v>
      </c>
      <c r="HK38" s="229">
        <v>1</v>
      </c>
      <c r="HM38" s="373">
        <f t="shared" si="173"/>
        <v>1</v>
      </c>
      <c r="HN38" s="145">
        <v>1</v>
      </c>
    </row>
    <row r="39" spans="1:225" ht="12.75" hidden="1" customHeight="1" x14ac:dyDescent="0.2">
      <c r="A39" s="373">
        <f t="shared" si="172"/>
        <v>35</v>
      </c>
      <c r="B39" s="149" t="s">
        <v>156</v>
      </c>
      <c r="C39" s="150">
        <v>0.94199999999999995</v>
      </c>
      <c r="D39" s="150">
        <v>0.95</v>
      </c>
      <c r="E39" s="150">
        <v>0.91100000000000003</v>
      </c>
      <c r="F39" s="150">
        <v>0.96499999999999997</v>
      </c>
      <c r="G39" s="150"/>
      <c r="H39" s="226">
        <f ca="1">OFFSET($HH39,0,'Расчет стоимости'!$M$10,1,1)</f>
        <v>0.94</v>
      </c>
      <c r="I39" s="150">
        <v>1</v>
      </c>
      <c r="J39" s="150">
        <v>1</v>
      </c>
      <c r="K39" s="149">
        <v>1</v>
      </c>
      <c r="L39" s="149">
        <v>1</v>
      </c>
      <c r="M39" s="372">
        <v>6.0000000000000001E-3</v>
      </c>
      <c r="N39" s="145">
        <v>4.0000000000000001E-3</v>
      </c>
      <c r="O39" s="145">
        <v>3.0000000000000001E-3</v>
      </c>
      <c r="P39" s="145">
        <v>6.9999999999999993E-3</v>
      </c>
      <c r="Q39" s="145">
        <v>0</v>
      </c>
      <c r="R39" s="152" t="s">
        <v>239</v>
      </c>
      <c r="T39" s="225">
        <f t="shared" si="174"/>
        <v>1</v>
      </c>
      <c r="U39" s="225">
        <f t="shared" si="174"/>
        <v>1</v>
      </c>
      <c r="V39" s="225">
        <f t="shared" si="174"/>
        <v>1</v>
      </c>
      <c r="W39" s="225">
        <f t="shared" si="174"/>
        <v>1</v>
      </c>
      <c r="X39" s="145">
        <f t="shared" si="175"/>
        <v>1</v>
      </c>
      <c r="Y39" s="145">
        <v>5.41</v>
      </c>
      <c r="Z39" s="145">
        <v>5.54</v>
      </c>
      <c r="AA39" s="145">
        <v>5.54</v>
      </c>
      <c r="AB39" s="145">
        <v>5.56</v>
      </c>
      <c r="AC39" s="145">
        <v>5.68</v>
      </c>
      <c r="AD39" s="41">
        <v>5.66</v>
      </c>
      <c r="AE39" s="41">
        <v>1</v>
      </c>
      <c r="AF39" s="41">
        <v>1</v>
      </c>
      <c r="AG39" s="41">
        <v>1</v>
      </c>
      <c r="AH39" s="41">
        <v>1</v>
      </c>
      <c r="AI39" s="41">
        <v>1</v>
      </c>
      <c r="AJ39" s="41">
        <v>1</v>
      </c>
      <c r="AK39" s="41">
        <v>1</v>
      </c>
      <c r="AL39" s="41">
        <v>1</v>
      </c>
      <c r="AM39" s="41">
        <v>1</v>
      </c>
      <c r="AN39" s="41">
        <v>1</v>
      </c>
      <c r="AO39" s="41">
        <v>1</v>
      </c>
      <c r="AP39" s="41">
        <v>1</v>
      </c>
      <c r="AQ39" s="41">
        <v>1</v>
      </c>
      <c r="AR39" s="41">
        <v>1</v>
      </c>
      <c r="AS39" s="41">
        <v>1</v>
      </c>
      <c r="AT39" s="41">
        <v>1</v>
      </c>
      <c r="AU39" s="41">
        <v>1</v>
      </c>
      <c r="AV39" s="41">
        <v>1</v>
      </c>
      <c r="AW39" s="41">
        <v>1</v>
      </c>
      <c r="AX39" s="41">
        <v>1</v>
      </c>
      <c r="AY39" s="41">
        <v>1</v>
      </c>
      <c r="AZ39" s="41">
        <v>1</v>
      </c>
      <c r="BA39" s="41">
        <v>1</v>
      </c>
      <c r="BB39" s="41">
        <v>1</v>
      </c>
      <c r="BD39" s="145">
        <f t="shared" si="176"/>
        <v>1</v>
      </c>
      <c r="BE39" s="145">
        <v>3.97</v>
      </c>
      <c r="BF39" s="145">
        <v>4</v>
      </c>
      <c r="BG39" s="145">
        <v>4</v>
      </c>
      <c r="BH39" s="145">
        <v>3.81</v>
      </c>
      <c r="BI39" s="145">
        <v>3.89</v>
      </c>
      <c r="BJ39" s="41">
        <v>3.83</v>
      </c>
      <c r="BK39" s="41">
        <v>1</v>
      </c>
      <c r="BL39" s="41">
        <v>1</v>
      </c>
      <c r="BM39" s="41">
        <v>1</v>
      </c>
      <c r="BN39" s="41">
        <v>1</v>
      </c>
      <c r="BO39" s="41">
        <v>1</v>
      </c>
      <c r="BP39" s="41">
        <v>1</v>
      </c>
      <c r="BQ39" s="41">
        <v>1</v>
      </c>
      <c r="BR39" s="41">
        <v>1</v>
      </c>
      <c r="BS39" s="41">
        <v>1</v>
      </c>
      <c r="BT39" s="41">
        <v>1</v>
      </c>
      <c r="BU39" s="41">
        <v>1</v>
      </c>
      <c r="BV39" s="41">
        <v>1</v>
      </c>
      <c r="BW39" s="41">
        <v>1</v>
      </c>
      <c r="BX39" s="41">
        <v>1</v>
      </c>
      <c r="BY39" s="41">
        <v>1</v>
      </c>
      <c r="BZ39" s="41">
        <v>1</v>
      </c>
      <c r="CA39" s="41">
        <v>1</v>
      </c>
      <c r="CB39" s="41">
        <v>1</v>
      </c>
      <c r="CC39" s="41">
        <v>1</v>
      </c>
      <c r="CD39" s="41">
        <v>1</v>
      </c>
      <c r="CE39" s="41">
        <v>1</v>
      </c>
      <c r="CF39" s="41">
        <v>1</v>
      </c>
      <c r="CG39" s="41">
        <v>1</v>
      </c>
      <c r="CH39" s="41">
        <v>1</v>
      </c>
      <c r="CJ39" s="145">
        <f t="shared" si="177"/>
        <v>1</v>
      </c>
      <c r="CK39" s="145">
        <v>3.99</v>
      </c>
      <c r="CL39" s="145">
        <v>4.0199999999999996</v>
      </c>
      <c r="CM39" s="145">
        <v>4.0199999999999996</v>
      </c>
      <c r="CN39" s="145">
        <v>4.04</v>
      </c>
      <c r="CO39" s="145">
        <v>4.12</v>
      </c>
      <c r="CP39" s="41">
        <v>4.0999999999999996</v>
      </c>
      <c r="CQ39" s="41">
        <v>1</v>
      </c>
      <c r="CR39" s="41">
        <v>1</v>
      </c>
      <c r="CS39" s="41">
        <v>1</v>
      </c>
      <c r="CT39" s="41">
        <v>1</v>
      </c>
      <c r="CU39" s="41">
        <v>1</v>
      </c>
      <c r="CV39" s="41">
        <v>1</v>
      </c>
      <c r="CW39" s="41">
        <v>1</v>
      </c>
      <c r="CX39" s="41">
        <v>1</v>
      </c>
      <c r="CY39" s="41">
        <v>1</v>
      </c>
      <c r="CZ39" s="41">
        <v>1</v>
      </c>
      <c r="DA39" s="41">
        <v>1</v>
      </c>
      <c r="DB39" s="41">
        <v>1</v>
      </c>
      <c r="DC39" s="41">
        <v>1</v>
      </c>
      <c r="DD39" s="41">
        <v>1</v>
      </c>
      <c r="DE39" s="41">
        <v>1</v>
      </c>
      <c r="DF39" s="41">
        <v>1</v>
      </c>
      <c r="DG39" s="41">
        <v>1</v>
      </c>
      <c r="DH39" s="41">
        <v>1</v>
      </c>
      <c r="DI39" s="41">
        <v>1</v>
      </c>
      <c r="DJ39" s="41">
        <v>1</v>
      </c>
      <c r="DK39" s="41">
        <v>1</v>
      </c>
      <c r="DL39" s="41">
        <v>1</v>
      </c>
      <c r="DM39" s="41">
        <v>1</v>
      </c>
      <c r="DN39" s="41">
        <v>1</v>
      </c>
      <c r="DP39" s="145">
        <f t="shared" si="178"/>
        <v>1</v>
      </c>
      <c r="DQ39" s="145">
        <v>5.07</v>
      </c>
      <c r="DR39" s="145">
        <v>5.09</v>
      </c>
      <c r="DS39" s="145">
        <v>5.09</v>
      </c>
      <c r="DT39" s="145">
        <v>5.1100000000000003</v>
      </c>
      <c r="DU39" s="145">
        <v>5.19</v>
      </c>
      <c r="DV39" s="41">
        <v>5.18</v>
      </c>
      <c r="DW39" s="41">
        <v>1</v>
      </c>
      <c r="DX39" s="41">
        <v>1</v>
      </c>
      <c r="DY39" s="41">
        <v>1</v>
      </c>
      <c r="DZ39" s="41">
        <v>1</v>
      </c>
      <c r="EA39" s="41">
        <v>1</v>
      </c>
      <c r="EB39" s="41">
        <v>1</v>
      </c>
      <c r="EC39" s="41">
        <v>1</v>
      </c>
      <c r="ED39" s="41">
        <v>1</v>
      </c>
      <c r="EE39" s="41">
        <v>1</v>
      </c>
      <c r="EF39" s="41">
        <v>1</v>
      </c>
      <c r="EG39" s="41">
        <v>1</v>
      </c>
      <c r="EH39" s="41">
        <v>1</v>
      </c>
      <c r="EI39" s="41">
        <v>1</v>
      </c>
      <c r="EJ39" s="41">
        <v>1</v>
      </c>
      <c r="EK39" s="41">
        <v>1</v>
      </c>
      <c r="EL39" s="41">
        <v>1</v>
      </c>
      <c r="EM39" s="41">
        <v>1</v>
      </c>
      <c r="EN39" s="41">
        <v>1</v>
      </c>
      <c r="EO39" s="41">
        <v>1</v>
      </c>
      <c r="EP39" s="41">
        <v>1</v>
      </c>
      <c r="EQ39" s="41">
        <v>1</v>
      </c>
      <c r="ER39" s="41">
        <v>1</v>
      </c>
      <c r="ES39" s="41">
        <v>1</v>
      </c>
      <c r="ET39" s="41">
        <v>1</v>
      </c>
      <c r="EV39" s="145">
        <f t="shared" si="179"/>
        <v>1</v>
      </c>
      <c r="EW39" s="145">
        <v>4.4400000000000004</v>
      </c>
      <c r="EX39" s="145">
        <v>4.47</v>
      </c>
      <c r="EY39" s="145">
        <v>4.47</v>
      </c>
      <c r="EZ39" s="145">
        <v>4.49</v>
      </c>
      <c r="FA39" s="145">
        <v>4.58</v>
      </c>
      <c r="FB39" s="41">
        <v>4.5599999999999996</v>
      </c>
      <c r="FC39" s="41">
        <v>1</v>
      </c>
      <c r="FD39" s="41">
        <v>1</v>
      </c>
      <c r="FE39" s="41">
        <v>1</v>
      </c>
      <c r="FF39" s="41">
        <v>1</v>
      </c>
      <c r="FG39" s="41">
        <v>1</v>
      </c>
      <c r="FH39" s="41">
        <v>1</v>
      </c>
      <c r="FI39" s="41">
        <v>1</v>
      </c>
      <c r="FJ39" s="41">
        <v>1</v>
      </c>
      <c r="FK39" s="41">
        <v>1</v>
      </c>
      <c r="FL39" s="41">
        <v>1</v>
      </c>
      <c r="FM39" s="41">
        <v>1</v>
      </c>
      <c r="FN39" s="41">
        <v>1</v>
      </c>
      <c r="FO39" s="41">
        <v>1</v>
      </c>
      <c r="FP39" s="41">
        <v>1</v>
      </c>
      <c r="FQ39" s="41">
        <v>1</v>
      </c>
      <c r="FR39" s="41">
        <v>1</v>
      </c>
      <c r="FS39" s="41">
        <v>1</v>
      </c>
      <c r="FT39" s="41">
        <v>1</v>
      </c>
      <c r="FU39" s="41">
        <v>1</v>
      </c>
      <c r="FV39" s="41">
        <v>1</v>
      </c>
      <c r="FW39" s="41">
        <v>1</v>
      </c>
      <c r="FX39" s="41">
        <v>1</v>
      </c>
      <c r="FY39" s="41">
        <v>1</v>
      </c>
      <c r="FZ39" s="41">
        <v>1</v>
      </c>
      <c r="GB39" s="145">
        <f t="shared" si="180"/>
        <v>1</v>
      </c>
      <c r="GC39" s="145">
        <v>9.85</v>
      </c>
      <c r="GD39" s="145">
        <v>10.06</v>
      </c>
      <c r="GE39" s="145">
        <v>10.06</v>
      </c>
      <c r="GF39" s="145">
        <v>10.1</v>
      </c>
      <c r="GG39" s="145">
        <v>10.31</v>
      </c>
      <c r="GH39" s="41">
        <v>10.27</v>
      </c>
      <c r="GI39" s="41">
        <v>1</v>
      </c>
      <c r="GJ39" s="41">
        <v>1</v>
      </c>
      <c r="GK39" s="41">
        <v>1</v>
      </c>
      <c r="GL39" s="41">
        <v>1</v>
      </c>
      <c r="GM39" s="41">
        <v>1</v>
      </c>
      <c r="GN39" s="41">
        <v>1</v>
      </c>
      <c r="GO39" s="41">
        <v>1</v>
      </c>
      <c r="GP39" s="41">
        <v>1</v>
      </c>
      <c r="GQ39" s="41">
        <v>1</v>
      </c>
      <c r="GR39" s="41">
        <v>1</v>
      </c>
      <c r="GS39" s="41">
        <v>1</v>
      </c>
      <c r="GT39" s="41">
        <v>1</v>
      </c>
      <c r="GU39" s="41">
        <v>1</v>
      </c>
      <c r="GV39" s="41">
        <v>1</v>
      </c>
      <c r="GW39" s="41">
        <v>1</v>
      </c>
      <c r="GX39" s="41">
        <v>1</v>
      </c>
      <c r="GY39" s="41">
        <v>1</v>
      </c>
      <c r="GZ39" s="41">
        <v>1</v>
      </c>
      <c r="HA39" s="41">
        <v>1</v>
      </c>
      <c r="HB39" s="41">
        <v>1</v>
      </c>
      <c r="HC39" s="41">
        <v>1</v>
      </c>
      <c r="HD39" s="41">
        <v>1</v>
      </c>
      <c r="HE39" s="41">
        <v>1</v>
      </c>
      <c r="HF39" s="41">
        <v>1</v>
      </c>
      <c r="HH39" s="373">
        <v>1</v>
      </c>
      <c r="HI39" s="218">
        <v>0.94</v>
      </c>
      <c r="HJ39" s="229">
        <v>0.94</v>
      </c>
      <c r="HK39" s="229">
        <v>0.94</v>
      </c>
      <c r="HM39" s="373">
        <f t="shared" si="173"/>
        <v>1</v>
      </c>
      <c r="HN39" s="145">
        <v>1</v>
      </c>
    </row>
    <row r="40" spans="1:225" ht="12.75" hidden="1" customHeight="1" x14ac:dyDescent="0.2">
      <c r="A40" s="373">
        <f t="shared" si="172"/>
        <v>36</v>
      </c>
      <c r="B40" s="149" t="s">
        <v>158</v>
      </c>
      <c r="C40" s="150">
        <v>0.98399999999999999</v>
      </c>
      <c r="D40" s="150">
        <v>0.97899999999999998</v>
      </c>
      <c r="E40" s="150">
        <v>1</v>
      </c>
      <c r="F40" s="150">
        <v>0.98</v>
      </c>
      <c r="G40" s="150"/>
      <c r="H40" s="226">
        <f ca="1">OFFSET($HH40,0,'Расчет стоимости'!$M$10,1,1)</f>
        <v>0.94</v>
      </c>
      <c r="I40" s="150">
        <v>1</v>
      </c>
      <c r="J40" s="150">
        <v>1</v>
      </c>
      <c r="K40" s="149">
        <v>1</v>
      </c>
      <c r="L40" s="149">
        <v>1</v>
      </c>
      <c r="M40" s="372">
        <v>1.2E-2</v>
      </c>
      <c r="N40" s="145">
        <v>0.01</v>
      </c>
      <c r="O40" s="145">
        <v>6.0000000000000001E-3</v>
      </c>
      <c r="P40" s="145">
        <v>1.6E-2</v>
      </c>
      <c r="Q40" s="145">
        <v>0</v>
      </c>
      <c r="R40" s="152" t="s">
        <v>241</v>
      </c>
      <c r="T40" s="225">
        <f t="shared" si="174"/>
        <v>1</v>
      </c>
      <c r="U40" s="225">
        <f t="shared" si="174"/>
        <v>1</v>
      </c>
      <c r="V40" s="225">
        <f t="shared" si="174"/>
        <v>1</v>
      </c>
      <c r="W40" s="225">
        <f t="shared" si="174"/>
        <v>1</v>
      </c>
      <c r="X40" s="145">
        <f t="shared" si="175"/>
        <v>1</v>
      </c>
      <c r="Y40" s="145">
        <v>5.49</v>
      </c>
      <c r="Z40" s="145">
        <v>5.63</v>
      </c>
      <c r="AA40" s="145">
        <v>5.63</v>
      </c>
      <c r="AB40" s="145">
        <v>5.65</v>
      </c>
      <c r="AC40" s="145">
        <v>5.77</v>
      </c>
      <c r="AD40" s="41">
        <v>5.75</v>
      </c>
      <c r="AE40" s="41">
        <v>1</v>
      </c>
      <c r="AF40" s="41">
        <v>1</v>
      </c>
      <c r="AG40" s="41">
        <v>1</v>
      </c>
      <c r="AH40" s="41">
        <v>1</v>
      </c>
      <c r="AI40" s="41">
        <v>1</v>
      </c>
      <c r="AJ40" s="41">
        <v>1</v>
      </c>
      <c r="AK40" s="41">
        <v>1</v>
      </c>
      <c r="AL40" s="41">
        <v>1</v>
      </c>
      <c r="AM40" s="41">
        <v>1</v>
      </c>
      <c r="AN40" s="41">
        <v>1</v>
      </c>
      <c r="AO40" s="41">
        <v>1</v>
      </c>
      <c r="AP40" s="41">
        <v>1</v>
      </c>
      <c r="AQ40" s="41">
        <v>1</v>
      </c>
      <c r="AR40" s="41">
        <v>1</v>
      </c>
      <c r="AS40" s="41">
        <v>1</v>
      </c>
      <c r="AT40" s="41">
        <v>1</v>
      </c>
      <c r="AU40" s="41">
        <v>1</v>
      </c>
      <c r="AV40" s="41">
        <v>1</v>
      </c>
      <c r="AW40" s="41">
        <v>1</v>
      </c>
      <c r="AX40" s="41">
        <v>1</v>
      </c>
      <c r="AY40" s="41">
        <v>1</v>
      </c>
      <c r="AZ40" s="41">
        <v>1</v>
      </c>
      <c r="BA40" s="41">
        <v>1</v>
      </c>
      <c r="BB40" s="41">
        <v>1</v>
      </c>
      <c r="BD40" s="145">
        <f t="shared" si="176"/>
        <v>1</v>
      </c>
      <c r="BE40" s="145">
        <v>3.87</v>
      </c>
      <c r="BF40" s="145">
        <v>3.91</v>
      </c>
      <c r="BG40" s="145">
        <v>3.91</v>
      </c>
      <c r="BH40" s="145">
        <v>3.93</v>
      </c>
      <c r="BI40" s="145">
        <v>4</v>
      </c>
      <c r="BJ40" s="41">
        <v>3.95</v>
      </c>
      <c r="BK40" s="41">
        <v>1</v>
      </c>
      <c r="BL40" s="41">
        <v>1</v>
      </c>
      <c r="BM40" s="41">
        <v>1</v>
      </c>
      <c r="BN40" s="41">
        <v>1</v>
      </c>
      <c r="BO40" s="41">
        <v>1</v>
      </c>
      <c r="BP40" s="41">
        <v>1</v>
      </c>
      <c r="BQ40" s="41">
        <v>1</v>
      </c>
      <c r="BR40" s="41">
        <v>1</v>
      </c>
      <c r="BS40" s="41">
        <v>1</v>
      </c>
      <c r="BT40" s="41">
        <v>1</v>
      </c>
      <c r="BU40" s="41">
        <v>1</v>
      </c>
      <c r="BV40" s="41">
        <v>1</v>
      </c>
      <c r="BW40" s="41">
        <v>1</v>
      </c>
      <c r="BX40" s="41">
        <v>1</v>
      </c>
      <c r="BY40" s="41">
        <v>1</v>
      </c>
      <c r="BZ40" s="41">
        <v>1</v>
      </c>
      <c r="CA40" s="41">
        <v>1</v>
      </c>
      <c r="CB40" s="41">
        <v>1</v>
      </c>
      <c r="CC40" s="41">
        <v>1</v>
      </c>
      <c r="CD40" s="41">
        <v>1</v>
      </c>
      <c r="CE40" s="41">
        <v>1</v>
      </c>
      <c r="CF40" s="41">
        <v>1</v>
      </c>
      <c r="CG40" s="41">
        <v>1</v>
      </c>
      <c r="CH40" s="41">
        <v>1</v>
      </c>
      <c r="CJ40" s="145">
        <f t="shared" si="177"/>
        <v>1</v>
      </c>
      <c r="CK40" s="145">
        <v>3.89</v>
      </c>
      <c r="CL40" s="145">
        <v>3.91</v>
      </c>
      <c r="CM40" s="145">
        <v>3.91</v>
      </c>
      <c r="CN40" s="145">
        <v>3.91</v>
      </c>
      <c r="CO40" s="145">
        <v>3.98</v>
      </c>
      <c r="CP40" s="41">
        <v>3.92</v>
      </c>
      <c r="CQ40" s="41">
        <v>1</v>
      </c>
      <c r="CR40" s="41">
        <v>1</v>
      </c>
      <c r="CS40" s="41">
        <v>1</v>
      </c>
      <c r="CT40" s="41">
        <v>1</v>
      </c>
      <c r="CU40" s="41">
        <v>1</v>
      </c>
      <c r="CV40" s="41">
        <v>1</v>
      </c>
      <c r="CW40" s="41">
        <v>1</v>
      </c>
      <c r="CX40" s="41">
        <v>1</v>
      </c>
      <c r="CY40" s="41">
        <v>1</v>
      </c>
      <c r="CZ40" s="41">
        <v>1</v>
      </c>
      <c r="DA40" s="41">
        <v>1</v>
      </c>
      <c r="DB40" s="41">
        <v>1</v>
      </c>
      <c r="DC40" s="41">
        <v>1</v>
      </c>
      <c r="DD40" s="41">
        <v>1</v>
      </c>
      <c r="DE40" s="41">
        <v>1</v>
      </c>
      <c r="DF40" s="41">
        <v>1</v>
      </c>
      <c r="DG40" s="41">
        <v>1</v>
      </c>
      <c r="DH40" s="41">
        <v>1</v>
      </c>
      <c r="DI40" s="41">
        <v>1</v>
      </c>
      <c r="DJ40" s="41">
        <v>1</v>
      </c>
      <c r="DK40" s="41">
        <v>1</v>
      </c>
      <c r="DL40" s="41">
        <v>1</v>
      </c>
      <c r="DM40" s="41">
        <v>1</v>
      </c>
      <c r="DN40" s="41">
        <v>1</v>
      </c>
      <c r="DP40" s="145">
        <f t="shared" si="178"/>
        <v>1</v>
      </c>
      <c r="DQ40" s="145">
        <v>4.6500000000000004</v>
      </c>
      <c r="DR40" s="145">
        <v>4.78</v>
      </c>
      <c r="DS40" s="145">
        <v>4.78</v>
      </c>
      <c r="DT40" s="145">
        <v>4.8</v>
      </c>
      <c r="DU40" s="145">
        <v>4.9000000000000004</v>
      </c>
      <c r="DV40" s="41">
        <v>4.88</v>
      </c>
      <c r="DW40" s="41">
        <v>1</v>
      </c>
      <c r="DX40" s="41">
        <v>1</v>
      </c>
      <c r="DY40" s="41">
        <v>1</v>
      </c>
      <c r="DZ40" s="41">
        <v>1</v>
      </c>
      <c r="EA40" s="41">
        <v>1</v>
      </c>
      <c r="EB40" s="41">
        <v>1</v>
      </c>
      <c r="EC40" s="41">
        <v>1</v>
      </c>
      <c r="ED40" s="41">
        <v>1</v>
      </c>
      <c r="EE40" s="41">
        <v>1</v>
      </c>
      <c r="EF40" s="41">
        <v>1</v>
      </c>
      <c r="EG40" s="41">
        <v>1</v>
      </c>
      <c r="EH40" s="41">
        <v>1</v>
      </c>
      <c r="EI40" s="41">
        <v>1</v>
      </c>
      <c r="EJ40" s="41">
        <v>1</v>
      </c>
      <c r="EK40" s="41">
        <v>1</v>
      </c>
      <c r="EL40" s="41">
        <v>1</v>
      </c>
      <c r="EM40" s="41">
        <v>1</v>
      </c>
      <c r="EN40" s="41">
        <v>1</v>
      </c>
      <c r="EO40" s="41">
        <v>1</v>
      </c>
      <c r="EP40" s="41">
        <v>1</v>
      </c>
      <c r="EQ40" s="41">
        <v>1</v>
      </c>
      <c r="ER40" s="41">
        <v>1</v>
      </c>
      <c r="ES40" s="41">
        <v>1</v>
      </c>
      <c r="ET40" s="41">
        <v>1</v>
      </c>
      <c r="EV40" s="145">
        <f t="shared" si="179"/>
        <v>1</v>
      </c>
      <c r="EW40" s="145">
        <v>4.13</v>
      </c>
      <c r="EX40" s="145">
        <v>4.24</v>
      </c>
      <c r="EY40" s="145">
        <v>4.24</v>
      </c>
      <c r="EZ40" s="145">
        <v>4.26</v>
      </c>
      <c r="FA40" s="145">
        <v>4.34</v>
      </c>
      <c r="FB40" s="41">
        <v>4.32</v>
      </c>
      <c r="FC40" s="41">
        <v>1</v>
      </c>
      <c r="FD40" s="41">
        <v>1</v>
      </c>
      <c r="FE40" s="41">
        <v>1</v>
      </c>
      <c r="FF40" s="41">
        <v>1</v>
      </c>
      <c r="FG40" s="41">
        <v>1</v>
      </c>
      <c r="FH40" s="41">
        <v>1</v>
      </c>
      <c r="FI40" s="41">
        <v>1</v>
      </c>
      <c r="FJ40" s="41">
        <v>1</v>
      </c>
      <c r="FK40" s="41">
        <v>1</v>
      </c>
      <c r="FL40" s="41">
        <v>1</v>
      </c>
      <c r="FM40" s="41">
        <v>1</v>
      </c>
      <c r="FN40" s="41">
        <v>1</v>
      </c>
      <c r="FO40" s="41">
        <v>1</v>
      </c>
      <c r="FP40" s="41">
        <v>1</v>
      </c>
      <c r="FQ40" s="41">
        <v>1</v>
      </c>
      <c r="FR40" s="41">
        <v>1</v>
      </c>
      <c r="FS40" s="41">
        <v>1</v>
      </c>
      <c r="FT40" s="41">
        <v>1</v>
      </c>
      <c r="FU40" s="41">
        <v>1</v>
      </c>
      <c r="FV40" s="41">
        <v>1</v>
      </c>
      <c r="FW40" s="41">
        <v>1</v>
      </c>
      <c r="FX40" s="41">
        <v>1</v>
      </c>
      <c r="FY40" s="41">
        <v>1</v>
      </c>
      <c r="FZ40" s="41">
        <v>1</v>
      </c>
      <c r="GB40" s="145">
        <f t="shared" si="180"/>
        <v>1</v>
      </c>
      <c r="GC40" s="145">
        <v>9.24</v>
      </c>
      <c r="GD40" s="145">
        <v>9.41</v>
      </c>
      <c r="GE40" s="145">
        <v>9.41</v>
      </c>
      <c r="GF40" s="145">
        <v>9.4499999999999993</v>
      </c>
      <c r="GG40" s="145">
        <v>9.65</v>
      </c>
      <c r="GH40" s="41">
        <v>9.61</v>
      </c>
      <c r="GI40" s="41">
        <v>1</v>
      </c>
      <c r="GJ40" s="41">
        <v>1</v>
      </c>
      <c r="GK40" s="41">
        <v>1</v>
      </c>
      <c r="GL40" s="41">
        <v>1</v>
      </c>
      <c r="GM40" s="41">
        <v>1</v>
      </c>
      <c r="GN40" s="41">
        <v>1</v>
      </c>
      <c r="GO40" s="41">
        <v>1</v>
      </c>
      <c r="GP40" s="41">
        <v>1</v>
      </c>
      <c r="GQ40" s="41">
        <v>1</v>
      </c>
      <c r="GR40" s="41">
        <v>1</v>
      </c>
      <c r="GS40" s="41">
        <v>1</v>
      </c>
      <c r="GT40" s="41">
        <v>1</v>
      </c>
      <c r="GU40" s="41">
        <v>1</v>
      </c>
      <c r="GV40" s="41">
        <v>1</v>
      </c>
      <c r="GW40" s="41">
        <v>1</v>
      </c>
      <c r="GX40" s="41">
        <v>1</v>
      </c>
      <c r="GY40" s="41">
        <v>1</v>
      </c>
      <c r="GZ40" s="41">
        <v>1</v>
      </c>
      <c r="HA40" s="41">
        <v>1</v>
      </c>
      <c r="HB40" s="41">
        <v>1</v>
      </c>
      <c r="HC40" s="41">
        <v>1</v>
      </c>
      <c r="HD40" s="41">
        <v>1</v>
      </c>
      <c r="HE40" s="41">
        <v>1</v>
      </c>
      <c r="HF40" s="41">
        <v>1</v>
      </c>
      <c r="HH40" s="373">
        <v>1</v>
      </c>
      <c r="HI40" s="218">
        <v>0.94</v>
      </c>
      <c r="HJ40" s="229">
        <v>0.94</v>
      </c>
      <c r="HK40" s="229">
        <v>0.94</v>
      </c>
      <c r="HM40" s="373">
        <f t="shared" si="173"/>
        <v>1</v>
      </c>
      <c r="HN40" s="145">
        <v>1</v>
      </c>
    </row>
    <row r="41" spans="1:225" hidden="1" x14ac:dyDescent="0.2">
      <c r="A41" s="373">
        <f t="shared" si="172"/>
        <v>37</v>
      </c>
      <c r="B41" s="149" t="s">
        <v>1249</v>
      </c>
      <c r="C41" s="150">
        <v>1.208</v>
      </c>
      <c r="D41" s="150">
        <v>1.276</v>
      </c>
      <c r="E41" s="150">
        <v>1</v>
      </c>
      <c r="F41" s="150">
        <v>1.127</v>
      </c>
      <c r="G41" s="150"/>
      <c r="H41" s="226">
        <f ca="1">OFFSET($HH41,0,'Расчет стоимости'!$M$10,1,1)</f>
        <v>0.94</v>
      </c>
      <c r="I41" s="150">
        <v>1</v>
      </c>
      <c r="J41" s="150">
        <v>1</v>
      </c>
      <c r="K41" s="149">
        <v>1</v>
      </c>
      <c r="L41" s="149">
        <v>1</v>
      </c>
      <c r="M41" s="372">
        <v>6.0000000000000001E-3</v>
      </c>
      <c r="N41" s="145">
        <v>4.0000000000000001E-3</v>
      </c>
      <c r="O41" s="145">
        <v>3.0000000000000001E-3</v>
      </c>
      <c r="P41" s="145">
        <v>6.9999999999999993E-3</v>
      </c>
      <c r="Q41" s="145">
        <v>0</v>
      </c>
      <c r="R41" s="152" t="s">
        <v>239</v>
      </c>
      <c r="T41" s="225">
        <f t="shared" si="174"/>
        <v>1</v>
      </c>
      <c r="U41" s="225">
        <f t="shared" si="174"/>
        <v>1</v>
      </c>
      <c r="V41" s="225">
        <f t="shared" si="174"/>
        <v>1</v>
      </c>
      <c r="W41" s="225">
        <f t="shared" si="174"/>
        <v>1</v>
      </c>
      <c r="X41" s="145">
        <f t="shared" si="175"/>
        <v>1</v>
      </c>
      <c r="Y41" s="145">
        <v>6.06</v>
      </c>
      <c r="Z41" s="145">
        <v>6.16</v>
      </c>
      <c r="AA41" s="145">
        <v>6.16</v>
      </c>
      <c r="AB41" s="145">
        <v>6.18</v>
      </c>
      <c r="AC41" s="145">
        <v>6.31</v>
      </c>
      <c r="AD41" s="41">
        <v>6.28</v>
      </c>
      <c r="AE41" s="41">
        <v>1</v>
      </c>
      <c r="AF41" s="41">
        <v>1</v>
      </c>
      <c r="AG41" s="41">
        <v>1</v>
      </c>
      <c r="AH41" s="41">
        <v>1</v>
      </c>
      <c r="AI41" s="41">
        <v>1</v>
      </c>
      <c r="AJ41" s="41">
        <v>1</v>
      </c>
      <c r="AK41" s="41">
        <v>1</v>
      </c>
      <c r="AL41" s="41">
        <v>1</v>
      </c>
      <c r="AM41" s="41">
        <v>1</v>
      </c>
      <c r="AN41" s="41">
        <v>1</v>
      </c>
      <c r="AO41" s="41">
        <v>1</v>
      </c>
      <c r="AP41" s="41">
        <v>1</v>
      </c>
      <c r="AQ41" s="41">
        <v>1</v>
      </c>
      <c r="AR41" s="41">
        <v>1</v>
      </c>
      <c r="AS41" s="41">
        <v>1</v>
      </c>
      <c r="AT41" s="41">
        <v>1</v>
      </c>
      <c r="AU41" s="41">
        <v>1</v>
      </c>
      <c r="AV41" s="41">
        <v>1</v>
      </c>
      <c r="AW41" s="41">
        <v>1</v>
      </c>
      <c r="AX41" s="41">
        <v>1</v>
      </c>
      <c r="AY41" s="41">
        <v>1</v>
      </c>
      <c r="AZ41" s="41">
        <v>1</v>
      </c>
      <c r="BA41" s="41">
        <v>1</v>
      </c>
      <c r="BB41" s="41">
        <v>1</v>
      </c>
      <c r="BD41" s="145">
        <f t="shared" si="176"/>
        <v>1</v>
      </c>
      <c r="BE41" s="145">
        <v>3.71</v>
      </c>
      <c r="BF41" s="145">
        <v>3.75</v>
      </c>
      <c r="BG41" s="145">
        <v>3.75</v>
      </c>
      <c r="BH41" s="145">
        <v>3.77</v>
      </c>
      <c r="BI41" s="145">
        <v>3.85</v>
      </c>
      <c r="BJ41" s="41">
        <v>3.83</v>
      </c>
      <c r="BK41" s="41">
        <v>1</v>
      </c>
      <c r="BL41" s="41">
        <v>1</v>
      </c>
      <c r="BM41" s="41">
        <v>1</v>
      </c>
      <c r="BN41" s="41">
        <v>1</v>
      </c>
      <c r="BO41" s="41">
        <v>1</v>
      </c>
      <c r="BP41" s="41">
        <v>1</v>
      </c>
      <c r="BQ41" s="41">
        <v>1</v>
      </c>
      <c r="BR41" s="41">
        <v>1</v>
      </c>
      <c r="BS41" s="41">
        <v>1</v>
      </c>
      <c r="BT41" s="41">
        <v>1</v>
      </c>
      <c r="BU41" s="41">
        <v>1</v>
      </c>
      <c r="BV41" s="41">
        <v>1</v>
      </c>
      <c r="BW41" s="41">
        <v>1</v>
      </c>
      <c r="BX41" s="41">
        <v>1</v>
      </c>
      <c r="BY41" s="41">
        <v>1</v>
      </c>
      <c r="BZ41" s="41">
        <v>1</v>
      </c>
      <c r="CA41" s="41">
        <v>1</v>
      </c>
      <c r="CB41" s="41">
        <v>1</v>
      </c>
      <c r="CC41" s="41">
        <v>1</v>
      </c>
      <c r="CD41" s="41">
        <v>1</v>
      </c>
      <c r="CE41" s="41">
        <v>1</v>
      </c>
      <c r="CF41" s="41">
        <v>1</v>
      </c>
      <c r="CG41" s="41">
        <v>1</v>
      </c>
      <c r="CH41" s="41">
        <v>1</v>
      </c>
      <c r="CJ41" s="145">
        <f t="shared" si="177"/>
        <v>1</v>
      </c>
      <c r="CK41" s="145">
        <v>3.87</v>
      </c>
      <c r="CL41" s="145">
        <v>3.87</v>
      </c>
      <c r="CM41" s="145">
        <v>3.87</v>
      </c>
      <c r="CN41" s="145">
        <v>3.89</v>
      </c>
      <c r="CO41" s="145">
        <v>3.97</v>
      </c>
      <c r="CP41" s="41">
        <v>3.95</v>
      </c>
      <c r="CQ41" s="41">
        <v>1</v>
      </c>
      <c r="CR41" s="41">
        <v>1</v>
      </c>
      <c r="CS41" s="41">
        <v>1</v>
      </c>
      <c r="CT41" s="41">
        <v>1</v>
      </c>
      <c r="CU41" s="41">
        <v>1</v>
      </c>
      <c r="CV41" s="41">
        <v>1</v>
      </c>
      <c r="CW41" s="41">
        <v>1</v>
      </c>
      <c r="CX41" s="41">
        <v>1</v>
      </c>
      <c r="CY41" s="41">
        <v>1</v>
      </c>
      <c r="CZ41" s="41">
        <v>1</v>
      </c>
      <c r="DA41" s="41">
        <v>1</v>
      </c>
      <c r="DB41" s="41">
        <v>1</v>
      </c>
      <c r="DC41" s="41">
        <v>1</v>
      </c>
      <c r="DD41" s="41">
        <v>1</v>
      </c>
      <c r="DE41" s="41">
        <v>1</v>
      </c>
      <c r="DF41" s="41">
        <v>1</v>
      </c>
      <c r="DG41" s="41">
        <v>1</v>
      </c>
      <c r="DH41" s="41">
        <v>1</v>
      </c>
      <c r="DI41" s="41">
        <v>1</v>
      </c>
      <c r="DJ41" s="41">
        <v>1</v>
      </c>
      <c r="DK41" s="41">
        <v>1</v>
      </c>
      <c r="DL41" s="41">
        <v>1</v>
      </c>
      <c r="DM41" s="41">
        <v>1</v>
      </c>
      <c r="DN41" s="41">
        <v>1</v>
      </c>
      <c r="DP41" s="145">
        <f t="shared" si="178"/>
        <v>1</v>
      </c>
      <c r="DQ41" s="145">
        <v>4.96</v>
      </c>
      <c r="DR41" s="145">
        <v>5.07</v>
      </c>
      <c r="DS41" s="145">
        <v>5.07</v>
      </c>
      <c r="DT41" s="145">
        <v>5.09</v>
      </c>
      <c r="DU41" s="145">
        <v>5.2</v>
      </c>
      <c r="DV41" s="41">
        <v>5.18</v>
      </c>
      <c r="DW41" s="41">
        <v>1</v>
      </c>
      <c r="DX41" s="41">
        <v>1</v>
      </c>
      <c r="DY41" s="41">
        <v>1</v>
      </c>
      <c r="DZ41" s="41">
        <v>1</v>
      </c>
      <c r="EA41" s="41">
        <v>1</v>
      </c>
      <c r="EB41" s="41">
        <v>1</v>
      </c>
      <c r="EC41" s="41">
        <v>1</v>
      </c>
      <c r="ED41" s="41">
        <v>1</v>
      </c>
      <c r="EE41" s="41">
        <v>1</v>
      </c>
      <c r="EF41" s="41">
        <v>1</v>
      </c>
      <c r="EG41" s="41">
        <v>1</v>
      </c>
      <c r="EH41" s="41">
        <v>1</v>
      </c>
      <c r="EI41" s="41">
        <v>1</v>
      </c>
      <c r="EJ41" s="41">
        <v>1</v>
      </c>
      <c r="EK41" s="41">
        <v>1</v>
      </c>
      <c r="EL41" s="41">
        <v>1</v>
      </c>
      <c r="EM41" s="41">
        <v>1</v>
      </c>
      <c r="EN41" s="41">
        <v>1</v>
      </c>
      <c r="EO41" s="41">
        <v>1</v>
      </c>
      <c r="EP41" s="41">
        <v>1</v>
      </c>
      <c r="EQ41" s="41">
        <v>1</v>
      </c>
      <c r="ER41" s="41">
        <v>1</v>
      </c>
      <c r="ES41" s="41">
        <v>1</v>
      </c>
      <c r="ET41" s="41">
        <v>1</v>
      </c>
      <c r="EV41" s="145">
        <f t="shared" si="179"/>
        <v>1</v>
      </c>
      <c r="EW41" s="145">
        <v>4.57</v>
      </c>
      <c r="EX41" s="145">
        <v>4.62</v>
      </c>
      <c r="EY41" s="145">
        <v>4.62</v>
      </c>
      <c r="EZ41" s="145">
        <v>4.6399999999999997</v>
      </c>
      <c r="FA41" s="145">
        <v>4.74</v>
      </c>
      <c r="FB41" s="41">
        <v>4.72</v>
      </c>
      <c r="FC41" s="41">
        <v>1</v>
      </c>
      <c r="FD41" s="41">
        <v>1</v>
      </c>
      <c r="FE41" s="41">
        <v>1</v>
      </c>
      <c r="FF41" s="41">
        <v>1</v>
      </c>
      <c r="FG41" s="41">
        <v>1</v>
      </c>
      <c r="FH41" s="41">
        <v>1</v>
      </c>
      <c r="FI41" s="41">
        <v>1</v>
      </c>
      <c r="FJ41" s="41">
        <v>1</v>
      </c>
      <c r="FK41" s="41">
        <v>1</v>
      </c>
      <c r="FL41" s="41">
        <v>1</v>
      </c>
      <c r="FM41" s="41">
        <v>1</v>
      </c>
      <c r="FN41" s="41">
        <v>1</v>
      </c>
      <c r="FO41" s="41">
        <v>1</v>
      </c>
      <c r="FP41" s="41">
        <v>1</v>
      </c>
      <c r="FQ41" s="41">
        <v>1</v>
      </c>
      <c r="FR41" s="41">
        <v>1</v>
      </c>
      <c r="FS41" s="41">
        <v>1</v>
      </c>
      <c r="FT41" s="41">
        <v>1</v>
      </c>
      <c r="FU41" s="41">
        <v>1</v>
      </c>
      <c r="FV41" s="41">
        <v>1</v>
      </c>
      <c r="FW41" s="41">
        <v>1</v>
      </c>
      <c r="FX41" s="41">
        <v>1</v>
      </c>
      <c r="FY41" s="41">
        <v>1</v>
      </c>
      <c r="FZ41" s="41">
        <v>1</v>
      </c>
      <c r="GB41" s="145">
        <f t="shared" si="180"/>
        <v>1</v>
      </c>
      <c r="GC41" s="145">
        <v>14.99</v>
      </c>
      <c r="GD41" s="145">
        <v>15.38</v>
      </c>
      <c r="GE41" s="145">
        <v>15.38</v>
      </c>
      <c r="GF41" s="145">
        <v>15.44</v>
      </c>
      <c r="GG41" s="145">
        <v>15.76</v>
      </c>
      <c r="GH41" s="41">
        <v>15.7</v>
      </c>
      <c r="GI41" s="41">
        <v>1</v>
      </c>
      <c r="GJ41" s="41">
        <v>1</v>
      </c>
      <c r="GK41" s="41">
        <v>1</v>
      </c>
      <c r="GL41" s="41">
        <v>1</v>
      </c>
      <c r="GM41" s="41">
        <v>1</v>
      </c>
      <c r="GN41" s="41">
        <v>1</v>
      </c>
      <c r="GO41" s="41">
        <v>1</v>
      </c>
      <c r="GP41" s="41">
        <v>1</v>
      </c>
      <c r="GQ41" s="41">
        <v>1</v>
      </c>
      <c r="GR41" s="41">
        <v>1</v>
      </c>
      <c r="GS41" s="41">
        <v>1</v>
      </c>
      <c r="GT41" s="41">
        <v>1</v>
      </c>
      <c r="GU41" s="41">
        <v>1</v>
      </c>
      <c r="GV41" s="41">
        <v>1</v>
      </c>
      <c r="GW41" s="41">
        <v>1</v>
      </c>
      <c r="GX41" s="41">
        <v>1</v>
      </c>
      <c r="GY41" s="41">
        <v>1</v>
      </c>
      <c r="GZ41" s="41">
        <v>1</v>
      </c>
      <c r="HA41" s="41">
        <v>1</v>
      </c>
      <c r="HB41" s="41">
        <v>1</v>
      </c>
      <c r="HC41" s="41">
        <v>1</v>
      </c>
      <c r="HD41" s="41">
        <v>1</v>
      </c>
      <c r="HE41" s="41">
        <v>1</v>
      </c>
      <c r="HF41" s="41">
        <v>1</v>
      </c>
      <c r="HH41" s="373">
        <v>1</v>
      </c>
      <c r="HI41" s="218">
        <v>0.94</v>
      </c>
      <c r="HJ41" s="229">
        <v>0.94</v>
      </c>
      <c r="HK41" s="229">
        <v>0.94</v>
      </c>
      <c r="HM41" s="373">
        <f t="shared" si="173"/>
        <v>1</v>
      </c>
      <c r="HN41" s="145">
        <v>1</v>
      </c>
    </row>
    <row r="42" spans="1:225" hidden="1" x14ac:dyDescent="0.2">
      <c r="A42" s="373">
        <f t="shared" si="172"/>
        <v>38</v>
      </c>
      <c r="B42" s="149" t="s">
        <v>155</v>
      </c>
      <c r="C42" s="150">
        <v>0.98099999999999998</v>
      </c>
      <c r="D42" s="150">
        <v>0.98799999999999999</v>
      </c>
      <c r="E42" s="150">
        <v>0.94099999999999995</v>
      </c>
      <c r="F42" s="150">
        <v>1.038</v>
      </c>
      <c r="G42" s="150"/>
      <c r="H42" s="226">
        <f ca="1">OFFSET($HH42,0,'Расчет стоимости'!$M$10,1,1)</f>
        <v>0.94</v>
      </c>
      <c r="I42" s="150">
        <v>1</v>
      </c>
      <c r="J42" s="150">
        <v>1</v>
      </c>
      <c r="K42" s="149">
        <v>1</v>
      </c>
      <c r="L42" s="149">
        <v>1</v>
      </c>
      <c r="M42" s="372">
        <v>6.0000000000000001E-3</v>
      </c>
      <c r="N42" s="145">
        <v>4.0000000000000001E-3</v>
      </c>
      <c r="O42" s="145">
        <v>3.0000000000000001E-3</v>
      </c>
      <c r="P42" s="145">
        <v>6.9999999999999993E-3</v>
      </c>
      <c r="Q42" s="145">
        <v>0</v>
      </c>
      <c r="R42" s="152" t="s">
        <v>239</v>
      </c>
      <c r="T42" s="225">
        <f t="shared" si="174"/>
        <v>1</v>
      </c>
      <c r="U42" s="225">
        <f t="shared" si="174"/>
        <v>1</v>
      </c>
      <c r="V42" s="225">
        <f t="shared" si="174"/>
        <v>1</v>
      </c>
      <c r="W42" s="225">
        <f t="shared" si="174"/>
        <v>1</v>
      </c>
      <c r="X42" s="145">
        <f t="shared" si="175"/>
        <v>1</v>
      </c>
      <c r="Y42" s="145">
        <v>5.4</v>
      </c>
      <c r="Z42" s="145">
        <v>5.53</v>
      </c>
      <c r="AA42" s="145">
        <v>5.53</v>
      </c>
      <c r="AB42" s="145">
        <v>5.55</v>
      </c>
      <c r="AC42" s="145">
        <v>5.67</v>
      </c>
      <c r="AD42" s="41">
        <v>5.65</v>
      </c>
      <c r="AE42" s="41">
        <v>1</v>
      </c>
      <c r="AF42" s="41">
        <v>1</v>
      </c>
      <c r="AG42" s="41">
        <v>1</v>
      </c>
      <c r="AH42" s="41">
        <v>1</v>
      </c>
      <c r="AI42" s="41">
        <v>1</v>
      </c>
      <c r="AJ42" s="41">
        <v>1</v>
      </c>
      <c r="AK42" s="41">
        <v>1</v>
      </c>
      <c r="AL42" s="41">
        <v>1</v>
      </c>
      <c r="AM42" s="41">
        <v>1</v>
      </c>
      <c r="AN42" s="41">
        <v>1</v>
      </c>
      <c r="AO42" s="41">
        <v>1</v>
      </c>
      <c r="AP42" s="41">
        <v>1</v>
      </c>
      <c r="AQ42" s="41">
        <v>1</v>
      </c>
      <c r="AR42" s="41">
        <v>1</v>
      </c>
      <c r="AS42" s="41">
        <v>1</v>
      </c>
      <c r="AT42" s="41">
        <v>1</v>
      </c>
      <c r="AU42" s="41">
        <v>1</v>
      </c>
      <c r="AV42" s="41">
        <v>1</v>
      </c>
      <c r="AW42" s="41">
        <v>1</v>
      </c>
      <c r="AX42" s="41">
        <v>1</v>
      </c>
      <c r="AY42" s="41">
        <v>1</v>
      </c>
      <c r="AZ42" s="41">
        <v>1</v>
      </c>
      <c r="BA42" s="41">
        <v>1</v>
      </c>
      <c r="BB42" s="41">
        <v>1</v>
      </c>
      <c r="BD42" s="145">
        <f t="shared" si="176"/>
        <v>1</v>
      </c>
      <c r="BE42" s="145">
        <v>3.49</v>
      </c>
      <c r="BF42" s="145">
        <v>3.58</v>
      </c>
      <c r="BG42" s="145">
        <v>3.58</v>
      </c>
      <c r="BH42" s="145">
        <v>3.59</v>
      </c>
      <c r="BI42" s="145">
        <v>3.67</v>
      </c>
      <c r="BJ42" s="41">
        <v>3.66</v>
      </c>
      <c r="BK42" s="41">
        <v>1</v>
      </c>
      <c r="BL42" s="41">
        <v>1</v>
      </c>
      <c r="BM42" s="41">
        <v>1</v>
      </c>
      <c r="BN42" s="41">
        <v>1</v>
      </c>
      <c r="BO42" s="41">
        <v>1</v>
      </c>
      <c r="BP42" s="41">
        <v>1</v>
      </c>
      <c r="BQ42" s="41">
        <v>1</v>
      </c>
      <c r="BR42" s="41">
        <v>1</v>
      </c>
      <c r="BS42" s="41">
        <v>1</v>
      </c>
      <c r="BT42" s="41">
        <v>1</v>
      </c>
      <c r="BU42" s="41">
        <v>1</v>
      </c>
      <c r="BV42" s="41">
        <v>1</v>
      </c>
      <c r="BW42" s="41">
        <v>1</v>
      </c>
      <c r="BX42" s="41">
        <v>1</v>
      </c>
      <c r="BY42" s="41">
        <v>1</v>
      </c>
      <c r="BZ42" s="41">
        <v>1</v>
      </c>
      <c r="CA42" s="41">
        <v>1</v>
      </c>
      <c r="CB42" s="41">
        <v>1</v>
      </c>
      <c r="CC42" s="41">
        <v>1</v>
      </c>
      <c r="CD42" s="41">
        <v>1</v>
      </c>
      <c r="CE42" s="41">
        <v>1</v>
      </c>
      <c r="CF42" s="41">
        <v>1</v>
      </c>
      <c r="CG42" s="41">
        <v>1</v>
      </c>
      <c r="CH42" s="41">
        <v>1</v>
      </c>
      <c r="CJ42" s="145">
        <f t="shared" si="177"/>
        <v>1</v>
      </c>
      <c r="CK42" s="145">
        <v>3.01</v>
      </c>
      <c r="CL42" s="145">
        <v>3.09</v>
      </c>
      <c r="CM42" s="145">
        <v>3.09</v>
      </c>
      <c r="CN42" s="145">
        <v>3.1</v>
      </c>
      <c r="CO42" s="145">
        <v>3.17</v>
      </c>
      <c r="CP42" s="41">
        <v>3.16</v>
      </c>
      <c r="CQ42" s="41">
        <v>1</v>
      </c>
      <c r="CR42" s="41">
        <v>1</v>
      </c>
      <c r="CS42" s="41">
        <v>1</v>
      </c>
      <c r="CT42" s="41">
        <v>1</v>
      </c>
      <c r="CU42" s="41">
        <v>1</v>
      </c>
      <c r="CV42" s="41">
        <v>1</v>
      </c>
      <c r="CW42" s="41">
        <v>1</v>
      </c>
      <c r="CX42" s="41">
        <v>1</v>
      </c>
      <c r="CY42" s="41">
        <v>1</v>
      </c>
      <c r="CZ42" s="41">
        <v>1</v>
      </c>
      <c r="DA42" s="41">
        <v>1</v>
      </c>
      <c r="DB42" s="41">
        <v>1</v>
      </c>
      <c r="DC42" s="41">
        <v>1</v>
      </c>
      <c r="DD42" s="41">
        <v>1</v>
      </c>
      <c r="DE42" s="41">
        <v>1</v>
      </c>
      <c r="DF42" s="41">
        <v>1</v>
      </c>
      <c r="DG42" s="41">
        <v>1</v>
      </c>
      <c r="DH42" s="41">
        <v>1</v>
      </c>
      <c r="DI42" s="41">
        <v>1</v>
      </c>
      <c r="DJ42" s="41">
        <v>1</v>
      </c>
      <c r="DK42" s="41">
        <v>1</v>
      </c>
      <c r="DL42" s="41">
        <v>1</v>
      </c>
      <c r="DM42" s="41">
        <v>1</v>
      </c>
      <c r="DN42" s="41">
        <v>1</v>
      </c>
      <c r="DP42" s="145">
        <f t="shared" si="178"/>
        <v>1</v>
      </c>
      <c r="DQ42" s="145">
        <v>4.16</v>
      </c>
      <c r="DR42" s="145">
        <v>4.2699999999999996</v>
      </c>
      <c r="DS42" s="145">
        <v>4.2699999999999996</v>
      </c>
      <c r="DT42" s="145">
        <v>4.29</v>
      </c>
      <c r="DU42" s="145">
        <v>4.38</v>
      </c>
      <c r="DV42" s="41">
        <v>4.3600000000000003</v>
      </c>
      <c r="DW42" s="41">
        <v>1</v>
      </c>
      <c r="DX42" s="41">
        <v>1</v>
      </c>
      <c r="DY42" s="41">
        <v>1</v>
      </c>
      <c r="DZ42" s="41">
        <v>1</v>
      </c>
      <c r="EA42" s="41">
        <v>1</v>
      </c>
      <c r="EB42" s="41">
        <v>1</v>
      </c>
      <c r="EC42" s="41">
        <v>1</v>
      </c>
      <c r="ED42" s="41">
        <v>1</v>
      </c>
      <c r="EE42" s="41">
        <v>1</v>
      </c>
      <c r="EF42" s="41">
        <v>1</v>
      </c>
      <c r="EG42" s="41">
        <v>1</v>
      </c>
      <c r="EH42" s="41">
        <v>1</v>
      </c>
      <c r="EI42" s="41">
        <v>1</v>
      </c>
      <c r="EJ42" s="41">
        <v>1</v>
      </c>
      <c r="EK42" s="41">
        <v>1</v>
      </c>
      <c r="EL42" s="41">
        <v>1</v>
      </c>
      <c r="EM42" s="41">
        <v>1</v>
      </c>
      <c r="EN42" s="41">
        <v>1</v>
      </c>
      <c r="EO42" s="41">
        <v>1</v>
      </c>
      <c r="EP42" s="41">
        <v>1</v>
      </c>
      <c r="EQ42" s="41">
        <v>1</v>
      </c>
      <c r="ER42" s="41">
        <v>1</v>
      </c>
      <c r="ES42" s="41">
        <v>1</v>
      </c>
      <c r="ET42" s="41">
        <v>1</v>
      </c>
      <c r="EV42" s="145">
        <f t="shared" si="179"/>
        <v>1</v>
      </c>
      <c r="EW42" s="145">
        <v>3.37</v>
      </c>
      <c r="EX42" s="145">
        <v>3.45</v>
      </c>
      <c r="EY42" s="145">
        <v>3.45</v>
      </c>
      <c r="EZ42" s="145">
        <v>3.46</v>
      </c>
      <c r="FA42" s="145">
        <v>3.53</v>
      </c>
      <c r="FB42" s="41">
        <v>3.52</v>
      </c>
      <c r="FC42" s="41">
        <v>1</v>
      </c>
      <c r="FD42" s="41">
        <v>1</v>
      </c>
      <c r="FE42" s="41">
        <v>1</v>
      </c>
      <c r="FF42" s="41">
        <v>1</v>
      </c>
      <c r="FG42" s="41">
        <v>1</v>
      </c>
      <c r="FH42" s="41">
        <v>1</v>
      </c>
      <c r="FI42" s="41">
        <v>1</v>
      </c>
      <c r="FJ42" s="41">
        <v>1</v>
      </c>
      <c r="FK42" s="41">
        <v>1</v>
      </c>
      <c r="FL42" s="41">
        <v>1</v>
      </c>
      <c r="FM42" s="41">
        <v>1</v>
      </c>
      <c r="FN42" s="41">
        <v>1</v>
      </c>
      <c r="FO42" s="41">
        <v>1</v>
      </c>
      <c r="FP42" s="41">
        <v>1</v>
      </c>
      <c r="FQ42" s="41">
        <v>1</v>
      </c>
      <c r="FR42" s="41">
        <v>1</v>
      </c>
      <c r="FS42" s="41">
        <v>1</v>
      </c>
      <c r="FT42" s="41">
        <v>1</v>
      </c>
      <c r="FU42" s="41">
        <v>1</v>
      </c>
      <c r="FV42" s="41">
        <v>1</v>
      </c>
      <c r="FW42" s="41">
        <v>1</v>
      </c>
      <c r="FX42" s="41">
        <v>1</v>
      </c>
      <c r="FY42" s="41">
        <v>1</v>
      </c>
      <c r="FZ42" s="41">
        <v>1</v>
      </c>
      <c r="GB42" s="145">
        <f t="shared" si="180"/>
        <v>1</v>
      </c>
      <c r="GC42" s="145">
        <v>9.99</v>
      </c>
      <c r="GD42" s="145">
        <v>10.25</v>
      </c>
      <c r="GE42" s="145">
        <v>10.25</v>
      </c>
      <c r="GF42" s="145">
        <v>10.29</v>
      </c>
      <c r="GG42" s="145">
        <v>10.51</v>
      </c>
      <c r="GH42" s="41">
        <v>10.47</v>
      </c>
      <c r="GI42" s="41">
        <v>1</v>
      </c>
      <c r="GJ42" s="41">
        <v>1</v>
      </c>
      <c r="GK42" s="41">
        <v>1</v>
      </c>
      <c r="GL42" s="41">
        <v>1</v>
      </c>
      <c r="GM42" s="41">
        <v>1</v>
      </c>
      <c r="GN42" s="41">
        <v>1</v>
      </c>
      <c r="GO42" s="41">
        <v>1</v>
      </c>
      <c r="GP42" s="41">
        <v>1</v>
      </c>
      <c r="GQ42" s="41">
        <v>1</v>
      </c>
      <c r="GR42" s="41">
        <v>1</v>
      </c>
      <c r="GS42" s="41">
        <v>1</v>
      </c>
      <c r="GT42" s="41">
        <v>1</v>
      </c>
      <c r="GU42" s="41">
        <v>1</v>
      </c>
      <c r="GV42" s="41">
        <v>1</v>
      </c>
      <c r="GW42" s="41">
        <v>1</v>
      </c>
      <c r="GX42" s="41">
        <v>1</v>
      </c>
      <c r="GY42" s="41">
        <v>1</v>
      </c>
      <c r="GZ42" s="41">
        <v>1</v>
      </c>
      <c r="HA42" s="41">
        <v>1</v>
      </c>
      <c r="HB42" s="41">
        <v>1</v>
      </c>
      <c r="HC42" s="41">
        <v>1</v>
      </c>
      <c r="HD42" s="41">
        <v>1</v>
      </c>
      <c r="HE42" s="41">
        <v>1</v>
      </c>
      <c r="HF42" s="41">
        <v>1</v>
      </c>
      <c r="HH42" s="373">
        <v>1</v>
      </c>
      <c r="HI42" s="218">
        <v>0.94</v>
      </c>
      <c r="HJ42" s="229">
        <v>0.94</v>
      </c>
      <c r="HK42" s="229">
        <v>0.94</v>
      </c>
      <c r="HM42" s="373">
        <f t="shared" si="173"/>
        <v>1</v>
      </c>
      <c r="HN42" s="145">
        <v>1</v>
      </c>
    </row>
    <row r="43" spans="1:225" ht="12.75" hidden="1" customHeight="1" x14ac:dyDescent="0.2">
      <c r="A43" s="373">
        <f t="shared" si="172"/>
        <v>39</v>
      </c>
      <c r="B43" s="149" t="s">
        <v>1247</v>
      </c>
      <c r="C43" s="150">
        <v>1.091</v>
      </c>
      <c r="D43" s="150">
        <v>1.097</v>
      </c>
      <c r="E43" s="150">
        <v>1.1339999999999999</v>
      </c>
      <c r="F43" s="150">
        <v>0.86099999999999999</v>
      </c>
      <c r="G43" s="150"/>
      <c r="H43" s="226">
        <f ca="1">OFFSET($HH43,0,'Расчет стоимости'!$M$10,1,1)</f>
        <v>0.94</v>
      </c>
      <c r="I43" s="150">
        <v>1</v>
      </c>
      <c r="J43" s="150">
        <v>1</v>
      </c>
      <c r="K43" s="149">
        <v>1</v>
      </c>
      <c r="L43" s="149">
        <v>1</v>
      </c>
      <c r="M43" s="372">
        <v>6.0000000000000001E-3</v>
      </c>
      <c r="N43" s="145">
        <v>4.0000000000000001E-3</v>
      </c>
      <c r="O43" s="145">
        <v>3.0000000000000001E-3</v>
      </c>
      <c r="P43" s="145">
        <v>6.9999999999999993E-3</v>
      </c>
      <c r="Q43" s="145">
        <v>0</v>
      </c>
      <c r="R43" s="152" t="s">
        <v>239</v>
      </c>
      <c r="T43" s="225">
        <f t="shared" si="174"/>
        <v>1</v>
      </c>
      <c r="U43" s="225">
        <f t="shared" si="174"/>
        <v>1</v>
      </c>
      <c r="V43" s="225">
        <f t="shared" si="174"/>
        <v>1</v>
      </c>
      <c r="W43" s="225">
        <f t="shared" si="174"/>
        <v>1</v>
      </c>
      <c r="X43" s="145">
        <f t="shared" si="175"/>
        <v>1</v>
      </c>
      <c r="Y43" s="145">
        <v>5.77</v>
      </c>
      <c r="Z43" s="145">
        <v>5.92</v>
      </c>
      <c r="AA43" s="145">
        <v>5.92</v>
      </c>
      <c r="AB43" s="145">
        <v>5.94</v>
      </c>
      <c r="AC43" s="145">
        <v>6.06</v>
      </c>
      <c r="AD43" s="41">
        <v>6.04</v>
      </c>
      <c r="AE43" s="41">
        <v>1</v>
      </c>
      <c r="AF43" s="41">
        <v>1</v>
      </c>
      <c r="AG43" s="41">
        <v>1</v>
      </c>
      <c r="AH43" s="41">
        <v>1</v>
      </c>
      <c r="AI43" s="41">
        <v>1</v>
      </c>
      <c r="AJ43" s="41">
        <v>1</v>
      </c>
      <c r="AK43" s="41">
        <v>1</v>
      </c>
      <c r="AL43" s="41">
        <v>1</v>
      </c>
      <c r="AM43" s="41">
        <v>1</v>
      </c>
      <c r="AN43" s="41">
        <v>1</v>
      </c>
      <c r="AO43" s="41">
        <v>1</v>
      </c>
      <c r="AP43" s="41">
        <v>1</v>
      </c>
      <c r="AQ43" s="41">
        <v>1</v>
      </c>
      <c r="AR43" s="41">
        <v>1</v>
      </c>
      <c r="AS43" s="41">
        <v>1</v>
      </c>
      <c r="AT43" s="41">
        <v>1</v>
      </c>
      <c r="AU43" s="41">
        <v>1</v>
      </c>
      <c r="AV43" s="41">
        <v>1</v>
      </c>
      <c r="AW43" s="41">
        <v>1</v>
      </c>
      <c r="AX43" s="41">
        <v>1</v>
      </c>
      <c r="AY43" s="41">
        <v>1</v>
      </c>
      <c r="AZ43" s="41">
        <v>1</v>
      </c>
      <c r="BA43" s="41">
        <v>1</v>
      </c>
      <c r="BB43" s="41">
        <v>1</v>
      </c>
      <c r="BD43" s="145">
        <f t="shared" si="176"/>
        <v>1</v>
      </c>
      <c r="BE43" s="145">
        <v>3.88</v>
      </c>
      <c r="BF43" s="145">
        <v>3.88</v>
      </c>
      <c r="BG43" s="145">
        <v>3.88</v>
      </c>
      <c r="BH43" s="145">
        <v>3.86</v>
      </c>
      <c r="BI43" s="145">
        <v>3.92</v>
      </c>
      <c r="BJ43" s="41">
        <v>3.89</v>
      </c>
      <c r="BK43" s="41">
        <v>1</v>
      </c>
      <c r="BL43" s="41">
        <v>1</v>
      </c>
      <c r="BM43" s="41">
        <v>1</v>
      </c>
      <c r="BN43" s="41">
        <v>1</v>
      </c>
      <c r="BO43" s="41">
        <v>1</v>
      </c>
      <c r="BP43" s="41">
        <v>1</v>
      </c>
      <c r="BQ43" s="41">
        <v>1</v>
      </c>
      <c r="BR43" s="41">
        <v>1</v>
      </c>
      <c r="BS43" s="41">
        <v>1</v>
      </c>
      <c r="BT43" s="41">
        <v>1</v>
      </c>
      <c r="BU43" s="41">
        <v>1</v>
      </c>
      <c r="BV43" s="41">
        <v>1</v>
      </c>
      <c r="BW43" s="41">
        <v>1</v>
      </c>
      <c r="BX43" s="41">
        <v>1</v>
      </c>
      <c r="BY43" s="41">
        <v>1</v>
      </c>
      <c r="BZ43" s="41">
        <v>1</v>
      </c>
      <c r="CA43" s="41">
        <v>1</v>
      </c>
      <c r="CB43" s="41">
        <v>1</v>
      </c>
      <c r="CC43" s="41">
        <v>1</v>
      </c>
      <c r="CD43" s="41">
        <v>1</v>
      </c>
      <c r="CE43" s="41">
        <v>1</v>
      </c>
      <c r="CF43" s="41">
        <v>1</v>
      </c>
      <c r="CG43" s="41">
        <v>1</v>
      </c>
      <c r="CH43" s="41">
        <v>1</v>
      </c>
      <c r="CJ43" s="145">
        <f t="shared" si="177"/>
        <v>1</v>
      </c>
      <c r="CK43" s="145">
        <v>3.82</v>
      </c>
      <c r="CL43" s="145">
        <v>3.83</v>
      </c>
      <c r="CM43" s="145">
        <v>3.83</v>
      </c>
      <c r="CN43" s="145">
        <v>3.85</v>
      </c>
      <c r="CO43" s="145">
        <v>3.86</v>
      </c>
      <c r="CP43" s="41">
        <v>3.84</v>
      </c>
      <c r="CQ43" s="41">
        <v>1</v>
      </c>
      <c r="CR43" s="41">
        <v>1</v>
      </c>
      <c r="CS43" s="41">
        <v>1</v>
      </c>
      <c r="CT43" s="41">
        <v>1</v>
      </c>
      <c r="CU43" s="41">
        <v>1</v>
      </c>
      <c r="CV43" s="41">
        <v>1</v>
      </c>
      <c r="CW43" s="41">
        <v>1</v>
      </c>
      <c r="CX43" s="41">
        <v>1</v>
      </c>
      <c r="CY43" s="41">
        <v>1</v>
      </c>
      <c r="CZ43" s="41">
        <v>1</v>
      </c>
      <c r="DA43" s="41">
        <v>1</v>
      </c>
      <c r="DB43" s="41">
        <v>1</v>
      </c>
      <c r="DC43" s="41">
        <v>1</v>
      </c>
      <c r="DD43" s="41">
        <v>1</v>
      </c>
      <c r="DE43" s="41">
        <v>1</v>
      </c>
      <c r="DF43" s="41">
        <v>1</v>
      </c>
      <c r="DG43" s="41">
        <v>1</v>
      </c>
      <c r="DH43" s="41">
        <v>1</v>
      </c>
      <c r="DI43" s="41">
        <v>1</v>
      </c>
      <c r="DJ43" s="41">
        <v>1</v>
      </c>
      <c r="DK43" s="41">
        <v>1</v>
      </c>
      <c r="DL43" s="41">
        <v>1</v>
      </c>
      <c r="DM43" s="41">
        <v>1</v>
      </c>
      <c r="DN43" s="41">
        <v>1</v>
      </c>
      <c r="DP43" s="145">
        <f t="shared" si="178"/>
        <v>1</v>
      </c>
      <c r="DQ43" s="145">
        <v>5.03</v>
      </c>
      <c r="DR43" s="145">
        <v>5.03</v>
      </c>
      <c r="DS43" s="145">
        <v>5.03</v>
      </c>
      <c r="DT43" s="145">
        <v>5.05</v>
      </c>
      <c r="DU43" s="145">
        <v>5.07</v>
      </c>
      <c r="DV43" s="41">
        <v>5.05</v>
      </c>
      <c r="DW43" s="41">
        <v>1</v>
      </c>
      <c r="DX43" s="41">
        <v>1</v>
      </c>
      <c r="DY43" s="41">
        <v>1</v>
      </c>
      <c r="DZ43" s="41">
        <v>1</v>
      </c>
      <c r="EA43" s="41">
        <v>1</v>
      </c>
      <c r="EB43" s="41">
        <v>1</v>
      </c>
      <c r="EC43" s="41">
        <v>1</v>
      </c>
      <c r="ED43" s="41">
        <v>1</v>
      </c>
      <c r="EE43" s="41">
        <v>1</v>
      </c>
      <c r="EF43" s="41">
        <v>1</v>
      </c>
      <c r="EG43" s="41">
        <v>1</v>
      </c>
      <c r="EH43" s="41">
        <v>1</v>
      </c>
      <c r="EI43" s="41">
        <v>1</v>
      </c>
      <c r="EJ43" s="41">
        <v>1</v>
      </c>
      <c r="EK43" s="41">
        <v>1</v>
      </c>
      <c r="EL43" s="41">
        <v>1</v>
      </c>
      <c r="EM43" s="41">
        <v>1</v>
      </c>
      <c r="EN43" s="41">
        <v>1</v>
      </c>
      <c r="EO43" s="41">
        <v>1</v>
      </c>
      <c r="EP43" s="41">
        <v>1</v>
      </c>
      <c r="EQ43" s="41">
        <v>1</v>
      </c>
      <c r="ER43" s="41">
        <v>1</v>
      </c>
      <c r="ES43" s="41">
        <v>1</v>
      </c>
      <c r="ET43" s="41">
        <v>1</v>
      </c>
      <c r="EV43" s="145">
        <f t="shared" si="179"/>
        <v>1</v>
      </c>
      <c r="EW43" s="145">
        <v>4.2699999999999996</v>
      </c>
      <c r="EX43" s="145">
        <v>4.28</v>
      </c>
      <c r="EY43" s="145">
        <v>4.28</v>
      </c>
      <c r="EZ43" s="145">
        <v>4.3</v>
      </c>
      <c r="FA43" s="145">
        <v>4.3600000000000003</v>
      </c>
      <c r="FB43" s="41">
        <v>4.34</v>
      </c>
      <c r="FC43" s="41">
        <v>1</v>
      </c>
      <c r="FD43" s="41">
        <v>1</v>
      </c>
      <c r="FE43" s="41">
        <v>1</v>
      </c>
      <c r="FF43" s="41">
        <v>1</v>
      </c>
      <c r="FG43" s="41">
        <v>1</v>
      </c>
      <c r="FH43" s="41">
        <v>1</v>
      </c>
      <c r="FI43" s="41">
        <v>1</v>
      </c>
      <c r="FJ43" s="41">
        <v>1</v>
      </c>
      <c r="FK43" s="41">
        <v>1</v>
      </c>
      <c r="FL43" s="41">
        <v>1</v>
      </c>
      <c r="FM43" s="41">
        <v>1</v>
      </c>
      <c r="FN43" s="41">
        <v>1</v>
      </c>
      <c r="FO43" s="41">
        <v>1</v>
      </c>
      <c r="FP43" s="41">
        <v>1</v>
      </c>
      <c r="FQ43" s="41">
        <v>1</v>
      </c>
      <c r="FR43" s="41">
        <v>1</v>
      </c>
      <c r="FS43" s="41">
        <v>1</v>
      </c>
      <c r="FT43" s="41">
        <v>1</v>
      </c>
      <c r="FU43" s="41">
        <v>1</v>
      </c>
      <c r="FV43" s="41">
        <v>1</v>
      </c>
      <c r="FW43" s="41">
        <v>1</v>
      </c>
      <c r="FX43" s="41">
        <v>1</v>
      </c>
      <c r="FY43" s="41">
        <v>1</v>
      </c>
      <c r="FZ43" s="41">
        <v>1</v>
      </c>
      <c r="GB43" s="145">
        <f t="shared" si="180"/>
        <v>1</v>
      </c>
      <c r="GC43" s="145">
        <v>13.8</v>
      </c>
      <c r="GD43" s="145">
        <v>14.15</v>
      </c>
      <c r="GE43" s="145">
        <v>14.15</v>
      </c>
      <c r="GF43" s="145">
        <v>14.21</v>
      </c>
      <c r="GG43" s="145">
        <v>14.51</v>
      </c>
      <c r="GH43" s="41">
        <v>14.45</v>
      </c>
      <c r="GI43" s="41">
        <v>1</v>
      </c>
      <c r="GJ43" s="41">
        <v>1</v>
      </c>
      <c r="GK43" s="41">
        <v>1</v>
      </c>
      <c r="GL43" s="41">
        <v>1</v>
      </c>
      <c r="GM43" s="41">
        <v>1</v>
      </c>
      <c r="GN43" s="41">
        <v>1</v>
      </c>
      <c r="GO43" s="41">
        <v>1</v>
      </c>
      <c r="GP43" s="41">
        <v>1</v>
      </c>
      <c r="GQ43" s="41">
        <v>1</v>
      </c>
      <c r="GR43" s="41">
        <v>1</v>
      </c>
      <c r="GS43" s="41">
        <v>1</v>
      </c>
      <c r="GT43" s="41">
        <v>1</v>
      </c>
      <c r="GU43" s="41">
        <v>1</v>
      </c>
      <c r="GV43" s="41">
        <v>1</v>
      </c>
      <c r="GW43" s="41">
        <v>1</v>
      </c>
      <c r="GX43" s="41">
        <v>1</v>
      </c>
      <c r="GY43" s="41">
        <v>1</v>
      </c>
      <c r="GZ43" s="41">
        <v>1</v>
      </c>
      <c r="HA43" s="41">
        <v>1</v>
      </c>
      <c r="HB43" s="41">
        <v>1</v>
      </c>
      <c r="HC43" s="41">
        <v>1</v>
      </c>
      <c r="HD43" s="41">
        <v>1</v>
      </c>
      <c r="HE43" s="41">
        <v>1</v>
      </c>
      <c r="HF43" s="41">
        <v>1</v>
      </c>
      <c r="HH43" s="373">
        <v>1</v>
      </c>
      <c r="HI43" s="218">
        <v>0.94</v>
      </c>
      <c r="HJ43" s="229">
        <v>0.94</v>
      </c>
      <c r="HK43" s="229">
        <v>0.94</v>
      </c>
      <c r="HM43" s="373">
        <f t="shared" si="173"/>
        <v>1</v>
      </c>
      <c r="HN43" s="145">
        <v>1</v>
      </c>
    </row>
    <row r="44" spans="1:225" ht="12.75" hidden="1" customHeight="1" x14ac:dyDescent="0.2">
      <c r="A44" s="373">
        <f t="shared" si="172"/>
        <v>40</v>
      </c>
      <c r="B44" s="149" t="s">
        <v>153</v>
      </c>
      <c r="C44" s="150">
        <v>0.88100000000000001</v>
      </c>
      <c r="D44" s="150">
        <v>0.86799999999999999</v>
      </c>
      <c r="E44" s="150">
        <v>0.91100000000000003</v>
      </c>
      <c r="F44" s="150">
        <v>0.93700000000000006</v>
      </c>
      <c r="G44" s="150"/>
      <c r="H44" s="226">
        <f ca="1">OFFSET($HH44,0,'Расчет стоимости'!$M$10,1,1)</f>
        <v>0.94</v>
      </c>
      <c r="I44" s="150">
        <v>1</v>
      </c>
      <c r="J44" s="150">
        <v>1</v>
      </c>
      <c r="K44" s="149">
        <v>1</v>
      </c>
      <c r="L44" s="149">
        <v>1</v>
      </c>
      <c r="M44" s="372">
        <v>6.0000000000000001E-3</v>
      </c>
      <c r="N44" s="145">
        <v>4.0000000000000001E-3</v>
      </c>
      <c r="O44" s="145">
        <v>3.0000000000000001E-3</v>
      </c>
      <c r="P44" s="145">
        <v>6.9999999999999993E-3</v>
      </c>
      <c r="Q44" s="145">
        <v>0</v>
      </c>
      <c r="R44" s="152" t="s">
        <v>239</v>
      </c>
      <c r="T44" s="225">
        <f t="shared" si="174"/>
        <v>1</v>
      </c>
      <c r="U44" s="225">
        <f t="shared" si="174"/>
        <v>1</v>
      </c>
      <c r="V44" s="225">
        <f t="shared" si="174"/>
        <v>1</v>
      </c>
      <c r="W44" s="225">
        <f t="shared" si="174"/>
        <v>1</v>
      </c>
      <c r="X44" s="145">
        <f t="shared" si="175"/>
        <v>1</v>
      </c>
      <c r="Y44" s="145">
        <v>5.65</v>
      </c>
      <c r="Z44" s="145">
        <v>5.66</v>
      </c>
      <c r="AA44" s="145">
        <v>5.66</v>
      </c>
      <c r="AB44" s="145">
        <v>5.68</v>
      </c>
      <c r="AC44" s="145">
        <v>5.8</v>
      </c>
      <c r="AD44" s="41">
        <v>5.78</v>
      </c>
      <c r="AE44" s="41">
        <v>1</v>
      </c>
      <c r="AF44" s="41">
        <v>1</v>
      </c>
      <c r="AG44" s="41">
        <v>1</v>
      </c>
      <c r="AH44" s="41">
        <v>1</v>
      </c>
      <c r="AI44" s="41">
        <v>1</v>
      </c>
      <c r="AJ44" s="41">
        <v>1</v>
      </c>
      <c r="AK44" s="41">
        <v>1</v>
      </c>
      <c r="AL44" s="41">
        <v>1</v>
      </c>
      <c r="AM44" s="41">
        <v>1</v>
      </c>
      <c r="AN44" s="41">
        <v>1</v>
      </c>
      <c r="AO44" s="41">
        <v>1</v>
      </c>
      <c r="AP44" s="41">
        <v>1</v>
      </c>
      <c r="AQ44" s="41">
        <v>1</v>
      </c>
      <c r="AR44" s="41">
        <v>1</v>
      </c>
      <c r="AS44" s="41">
        <v>1</v>
      </c>
      <c r="AT44" s="41">
        <v>1</v>
      </c>
      <c r="AU44" s="41">
        <v>1</v>
      </c>
      <c r="AV44" s="41">
        <v>1</v>
      </c>
      <c r="AW44" s="41">
        <v>1</v>
      </c>
      <c r="AX44" s="41">
        <v>1</v>
      </c>
      <c r="AY44" s="41">
        <v>1</v>
      </c>
      <c r="AZ44" s="41">
        <v>1</v>
      </c>
      <c r="BA44" s="41">
        <v>1</v>
      </c>
      <c r="BB44" s="41">
        <v>1</v>
      </c>
      <c r="BD44" s="145">
        <f t="shared" si="176"/>
        <v>1</v>
      </c>
      <c r="BE44" s="145">
        <v>3.75</v>
      </c>
      <c r="BF44" s="145">
        <v>3.75</v>
      </c>
      <c r="BG44" s="145">
        <v>3.75</v>
      </c>
      <c r="BH44" s="145">
        <v>3.77</v>
      </c>
      <c r="BI44" s="145">
        <v>3.85</v>
      </c>
      <c r="BJ44" s="41">
        <v>3.83</v>
      </c>
      <c r="BK44" s="41">
        <v>1</v>
      </c>
      <c r="BL44" s="41">
        <v>1</v>
      </c>
      <c r="BM44" s="41">
        <v>1</v>
      </c>
      <c r="BN44" s="41">
        <v>1</v>
      </c>
      <c r="BO44" s="41">
        <v>1</v>
      </c>
      <c r="BP44" s="41">
        <v>1</v>
      </c>
      <c r="BQ44" s="41">
        <v>1</v>
      </c>
      <c r="BR44" s="41">
        <v>1</v>
      </c>
      <c r="BS44" s="41">
        <v>1</v>
      </c>
      <c r="BT44" s="41">
        <v>1</v>
      </c>
      <c r="BU44" s="41">
        <v>1</v>
      </c>
      <c r="BV44" s="41">
        <v>1</v>
      </c>
      <c r="BW44" s="41">
        <v>1</v>
      </c>
      <c r="BX44" s="41">
        <v>1</v>
      </c>
      <c r="BY44" s="41">
        <v>1</v>
      </c>
      <c r="BZ44" s="41">
        <v>1</v>
      </c>
      <c r="CA44" s="41">
        <v>1</v>
      </c>
      <c r="CB44" s="41">
        <v>1</v>
      </c>
      <c r="CC44" s="41">
        <v>1</v>
      </c>
      <c r="CD44" s="41">
        <v>1</v>
      </c>
      <c r="CE44" s="41">
        <v>1</v>
      </c>
      <c r="CF44" s="41">
        <v>1</v>
      </c>
      <c r="CG44" s="41">
        <v>1</v>
      </c>
      <c r="CH44" s="41">
        <v>1</v>
      </c>
      <c r="CJ44" s="145">
        <f t="shared" si="177"/>
        <v>1</v>
      </c>
      <c r="CK44" s="145">
        <v>3.89</v>
      </c>
      <c r="CL44" s="145">
        <v>3.99</v>
      </c>
      <c r="CM44" s="145">
        <v>3.99</v>
      </c>
      <c r="CN44" s="145">
        <v>4.01</v>
      </c>
      <c r="CO44" s="145">
        <v>4.09</v>
      </c>
      <c r="CP44" s="41">
        <v>4.07</v>
      </c>
      <c r="CQ44" s="41">
        <v>1</v>
      </c>
      <c r="CR44" s="41">
        <v>1</v>
      </c>
      <c r="CS44" s="41">
        <v>1</v>
      </c>
      <c r="CT44" s="41">
        <v>1</v>
      </c>
      <c r="CU44" s="41">
        <v>1</v>
      </c>
      <c r="CV44" s="41">
        <v>1</v>
      </c>
      <c r="CW44" s="41">
        <v>1</v>
      </c>
      <c r="CX44" s="41">
        <v>1</v>
      </c>
      <c r="CY44" s="41">
        <v>1</v>
      </c>
      <c r="CZ44" s="41">
        <v>1</v>
      </c>
      <c r="DA44" s="41">
        <v>1</v>
      </c>
      <c r="DB44" s="41">
        <v>1</v>
      </c>
      <c r="DC44" s="41">
        <v>1</v>
      </c>
      <c r="DD44" s="41">
        <v>1</v>
      </c>
      <c r="DE44" s="41">
        <v>1</v>
      </c>
      <c r="DF44" s="41">
        <v>1</v>
      </c>
      <c r="DG44" s="41">
        <v>1</v>
      </c>
      <c r="DH44" s="41">
        <v>1</v>
      </c>
      <c r="DI44" s="41">
        <v>1</v>
      </c>
      <c r="DJ44" s="41">
        <v>1</v>
      </c>
      <c r="DK44" s="41">
        <v>1</v>
      </c>
      <c r="DL44" s="41">
        <v>1</v>
      </c>
      <c r="DM44" s="41">
        <v>1</v>
      </c>
      <c r="DN44" s="41">
        <v>1</v>
      </c>
      <c r="DP44" s="145">
        <f t="shared" si="178"/>
        <v>1</v>
      </c>
      <c r="DQ44" s="145">
        <v>4.58</v>
      </c>
      <c r="DR44" s="145">
        <v>4.68</v>
      </c>
      <c r="DS44" s="145">
        <v>4.68</v>
      </c>
      <c r="DT44" s="145">
        <v>4.7</v>
      </c>
      <c r="DU44" s="145">
        <v>4.8</v>
      </c>
      <c r="DV44" s="41">
        <v>4.78</v>
      </c>
      <c r="DW44" s="41">
        <v>1</v>
      </c>
      <c r="DX44" s="41">
        <v>1</v>
      </c>
      <c r="DY44" s="41">
        <v>1</v>
      </c>
      <c r="DZ44" s="41">
        <v>1</v>
      </c>
      <c r="EA44" s="41">
        <v>1</v>
      </c>
      <c r="EB44" s="41">
        <v>1</v>
      </c>
      <c r="EC44" s="41">
        <v>1</v>
      </c>
      <c r="ED44" s="41">
        <v>1</v>
      </c>
      <c r="EE44" s="41">
        <v>1</v>
      </c>
      <c r="EF44" s="41">
        <v>1</v>
      </c>
      <c r="EG44" s="41">
        <v>1</v>
      </c>
      <c r="EH44" s="41">
        <v>1</v>
      </c>
      <c r="EI44" s="41">
        <v>1</v>
      </c>
      <c r="EJ44" s="41">
        <v>1</v>
      </c>
      <c r="EK44" s="41">
        <v>1</v>
      </c>
      <c r="EL44" s="41">
        <v>1</v>
      </c>
      <c r="EM44" s="41">
        <v>1</v>
      </c>
      <c r="EN44" s="41">
        <v>1</v>
      </c>
      <c r="EO44" s="41">
        <v>1</v>
      </c>
      <c r="EP44" s="41">
        <v>1</v>
      </c>
      <c r="EQ44" s="41">
        <v>1</v>
      </c>
      <c r="ER44" s="41">
        <v>1</v>
      </c>
      <c r="ES44" s="41">
        <v>1</v>
      </c>
      <c r="ET44" s="41">
        <v>1</v>
      </c>
      <c r="EV44" s="145">
        <f t="shared" si="179"/>
        <v>1</v>
      </c>
      <c r="EW44" s="145">
        <v>4.0999999999999996</v>
      </c>
      <c r="EX44" s="145">
        <v>4.2</v>
      </c>
      <c r="EY44" s="145">
        <v>4.2</v>
      </c>
      <c r="EZ44" s="145">
        <v>4.22</v>
      </c>
      <c r="FA44" s="145">
        <v>4.3099999999999996</v>
      </c>
      <c r="FB44" s="41">
        <v>4.29</v>
      </c>
      <c r="FC44" s="41">
        <v>1</v>
      </c>
      <c r="FD44" s="41">
        <v>1</v>
      </c>
      <c r="FE44" s="41">
        <v>1</v>
      </c>
      <c r="FF44" s="41">
        <v>1</v>
      </c>
      <c r="FG44" s="41">
        <v>1</v>
      </c>
      <c r="FH44" s="41">
        <v>1</v>
      </c>
      <c r="FI44" s="41">
        <v>1</v>
      </c>
      <c r="FJ44" s="41">
        <v>1</v>
      </c>
      <c r="FK44" s="41">
        <v>1</v>
      </c>
      <c r="FL44" s="41">
        <v>1</v>
      </c>
      <c r="FM44" s="41">
        <v>1</v>
      </c>
      <c r="FN44" s="41">
        <v>1</v>
      </c>
      <c r="FO44" s="41">
        <v>1</v>
      </c>
      <c r="FP44" s="41">
        <v>1</v>
      </c>
      <c r="FQ44" s="41">
        <v>1</v>
      </c>
      <c r="FR44" s="41">
        <v>1</v>
      </c>
      <c r="FS44" s="41">
        <v>1</v>
      </c>
      <c r="FT44" s="41">
        <v>1</v>
      </c>
      <c r="FU44" s="41">
        <v>1</v>
      </c>
      <c r="FV44" s="41">
        <v>1</v>
      </c>
      <c r="FW44" s="41">
        <v>1</v>
      </c>
      <c r="FX44" s="41">
        <v>1</v>
      </c>
      <c r="FY44" s="41">
        <v>1</v>
      </c>
      <c r="FZ44" s="41">
        <v>1</v>
      </c>
      <c r="GB44" s="145">
        <f t="shared" si="180"/>
        <v>1</v>
      </c>
      <c r="GC44" s="145">
        <v>9.43</v>
      </c>
      <c r="GD44" s="145">
        <v>9.68</v>
      </c>
      <c r="GE44" s="145">
        <v>9.68</v>
      </c>
      <c r="GF44" s="145">
        <v>9.7200000000000006</v>
      </c>
      <c r="GG44" s="145">
        <v>9.92</v>
      </c>
      <c r="GH44" s="41">
        <v>9.8800000000000008</v>
      </c>
      <c r="GI44" s="41">
        <v>1</v>
      </c>
      <c r="GJ44" s="41">
        <v>1</v>
      </c>
      <c r="GK44" s="41">
        <v>1</v>
      </c>
      <c r="GL44" s="41">
        <v>1</v>
      </c>
      <c r="GM44" s="41">
        <v>1</v>
      </c>
      <c r="GN44" s="41">
        <v>1</v>
      </c>
      <c r="GO44" s="41">
        <v>1</v>
      </c>
      <c r="GP44" s="41">
        <v>1</v>
      </c>
      <c r="GQ44" s="41">
        <v>1</v>
      </c>
      <c r="GR44" s="41">
        <v>1</v>
      </c>
      <c r="GS44" s="41">
        <v>1</v>
      </c>
      <c r="GT44" s="41">
        <v>1</v>
      </c>
      <c r="GU44" s="41">
        <v>1</v>
      </c>
      <c r="GV44" s="41">
        <v>1</v>
      </c>
      <c r="GW44" s="41">
        <v>1</v>
      </c>
      <c r="GX44" s="41">
        <v>1</v>
      </c>
      <c r="GY44" s="41">
        <v>1</v>
      </c>
      <c r="GZ44" s="41">
        <v>1</v>
      </c>
      <c r="HA44" s="41">
        <v>1</v>
      </c>
      <c r="HB44" s="41">
        <v>1</v>
      </c>
      <c r="HC44" s="41">
        <v>1</v>
      </c>
      <c r="HD44" s="41">
        <v>1</v>
      </c>
      <c r="HE44" s="41">
        <v>1</v>
      </c>
      <c r="HF44" s="41">
        <v>1</v>
      </c>
      <c r="HH44" s="373">
        <v>1</v>
      </c>
      <c r="HI44" s="218">
        <v>0.94</v>
      </c>
      <c r="HJ44" s="229">
        <v>0.94</v>
      </c>
      <c r="HK44" s="229">
        <v>0.94</v>
      </c>
      <c r="HM44" s="373">
        <f t="shared" si="173"/>
        <v>1</v>
      </c>
      <c r="HN44" s="145">
        <v>1</v>
      </c>
    </row>
    <row r="45" spans="1:225" ht="12.75" hidden="1" customHeight="1" x14ac:dyDescent="0.2">
      <c r="A45" s="373">
        <f t="shared" si="172"/>
        <v>41</v>
      </c>
      <c r="B45" s="149" t="s">
        <v>181</v>
      </c>
      <c r="C45" s="150">
        <v>1.093</v>
      </c>
      <c r="D45" s="150">
        <v>1.075</v>
      </c>
      <c r="E45" s="150">
        <v>1.1499999999999999</v>
      </c>
      <c r="F45" s="150">
        <v>1.103</v>
      </c>
      <c r="G45" s="150"/>
      <c r="H45" s="226">
        <f ca="1">OFFSET($HH45,0,'Расчет стоимости'!$M$10,1,1)</f>
        <v>0.94</v>
      </c>
      <c r="I45" s="150">
        <v>1</v>
      </c>
      <c r="J45" s="150">
        <v>1</v>
      </c>
      <c r="K45" s="149">
        <v>1</v>
      </c>
      <c r="L45" s="149">
        <v>1</v>
      </c>
      <c r="M45" s="372">
        <v>6.0000000000000001E-3</v>
      </c>
      <c r="N45" s="145">
        <v>4.0000000000000001E-3</v>
      </c>
      <c r="O45" s="145">
        <v>3.0000000000000001E-3</v>
      </c>
      <c r="P45" s="145">
        <v>6.9999999999999993E-3</v>
      </c>
      <c r="Q45" s="145">
        <v>0</v>
      </c>
      <c r="R45" s="152" t="s">
        <v>239</v>
      </c>
      <c r="T45" s="225">
        <f t="shared" si="174"/>
        <v>1.1299999999999999</v>
      </c>
      <c r="U45" s="225">
        <f t="shared" si="174"/>
        <v>1.1299999999999999</v>
      </c>
      <c r="V45" s="225">
        <f t="shared" si="174"/>
        <v>1.1299999999999999</v>
      </c>
      <c r="W45" s="225">
        <f t="shared" si="174"/>
        <v>1.1299999999999999</v>
      </c>
      <c r="X45" s="145">
        <f t="shared" si="175"/>
        <v>1</v>
      </c>
      <c r="Y45" s="145">
        <v>6.09</v>
      </c>
      <c r="Z45" s="145">
        <v>6.25</v>
      </c>
      <c r="AA45" s="145">
        <v>6.25</v>
      </c>
      <c r="AB45" s="145">
        <v>6.28</v>
      </c>
      <c r="AC45" s="145">
        <v>6.41</v>
      </c>
      <c r="AD45" s="41">
        <v>6.38</v>
      </c>
      <c r="AE45" s="41">
        <v>1</v>
      </c>
      <c r="AF45" s="41">
        <v>1</v>
      </c>
      <c r="AG45" s="41">
        <v>1</v>
      </c>
      <c r="AH45" s="41">
        <v>1</v>
      </c>
      <c r="AI45" s="41">
        <v>1</v>
      </c>
      <c r="AJ45" s="41">
        <v>1</v>
      </c>
      <c r="AK45" s="41">
        <v>1</v>
      </c>
      <c r="AL45" s="41">
        <v>1</v>
      </c>
      <c r="AM45" s="41">
        <v>1</v>
      </c>
      <c r="AN45" s="41">
        <v>1</v>
      </c>
      <c r="AO45" s="41">
        <v>1</v>
      </c>
      <c r="AP45" s="41">
        <v>1</v>
      </c>
      <c r="AQ45" s="41">
        <v>1</v>
      </c>
      <c r="AR45" s="41">
        <v>1</v>
      </c>
      <c r="AS45" s="41">
        <v>1</v>
      </c>
      <c r="AT45" s="41">
        <v>1</v>
      </c>
      <c r="AU45" s="41">
        <v>1</v>
      </c>
      <c r="AV45" s="41">
        <v>1</v>
      </c>
      <c r="AW45" s="41">
        <v>1</v>
      </c>
      <c r="AX45" s="41">
        <v>1</v>
      </c>
      <c r="AY45" s="41">
        <v>1</v>
      </c>
      <c r="AZ45" s="41">
        <v>1</v>
      </c>
      <c r="BA45" s="41">
        <v>1</v>
      </c>
      <c r="BB45" s="41">
        <v>1</v>
      </c>
      <c r="BD45" s="145">
        <f t="shared" si="176"/>
        <v>1</v>
      </c>
      <c r="BE45" s="145">
        <v>3.9</v>
      </c>
      <c r="BF45" s="145">
        <v>3.98</v>
      </c>
      <c r="BG45" s="145">
        <v>3.98</v>
      </c>
      <c r="BH45" s="145">
        <v>4</v>
      </c>
      <c r="BI45" s="145">
        <v>4.08</v>
      </c>
      <c r="BJ45" s="41">
        <v>4.0599999999999996</v>
      </c>
      <c r="BK45" s="41">
        <v>1</v>
      </c>
      <c r="BL45" s="41">
        <v>1</v>
      </c>
      <c r="BM45" s="41">
        <v>1</v>
      </c>
      <c r="BN45" s="41">
        <v>1</v>
      </c>
      <c r="BO45" s="41">
        <v>1</v>
      </c>
      <c r="BP45" s="41">
        <v>1</v>
      </c>
      <c r="BQ45" s="41">
        <v>1</v>
      </c>
      <c r="BR45" s="41">
        <v>1</v>
      </c>
      <c r="BS45" s="41">
        <v>1</v>
      </c>
      <c r="BT45" s="41">
        <v>1</v>
      </c>
      <c r="BU45" s="41">
        <v>1</v>
      </c>
      <c r="BV45" s="41">
        <v>1</v>
      </c>
      <c r="BW45" s="41">
        <v>1</v>
      </c>
      <c r="BX45" s="41">
        <v>1</v>
      </c>
      <c r="BY45" s="41">
        <v>1</v>
      </c>
      <c r="BZ45" s="41">
        <v>1</v>
      </c>
      <c r="CA45" s="41">
        <v>1</v>
      </c>
      <c r="CB45" s="41">
        <v>1</v>
      </c>
      <c r="CC45" s="41">
        <v>1</v>
      </c>
      <c r="CD45" s="41">
        <v>1</v>
      </c>
      <c r="CE45" s="41">
        <v>1</v>
      </c>
      <c r="CF45" s="41">
        <v>1</v>
      </c>
      <c r="CG45" s="41">
        <v>1</v>
      </c>
      <c r="CH45" s="41">
        <v>1</v>
      </c>
      <c r="CJ45" s="145">
        <f t="shared" si="177"/>
        <v>1</v>
      </c>
      <c r="CK45" s="145">
        <v>4.1100000000000003</v>
      </c>
      <c r="CL45" s="145">
        <v>4.1100000000000003</v>
      </c>
      <c r="CM45" s="145">
        <v>4.1100000000000003</v>
      </c>
      <c r="CN45" s="145">
        <v>4.13</v>
      </c>
      <c r="CO45" s="145">
        <v>4.22</v>
      </c>
      <c r="CP45" s="41">
        <v>4.2</v>
      </c>
      <c r="CQ45" s="41">
        <v>1</v>
      </c>
      <c r="CR45" s="41">
        <v>1</v>
      </c>
      <c r="CS45" s="41">
        <v>1</v>
      </c>
      <c r="CT45" s="41">
        <v>1</v>
      </c>
      <c r="CU45" s="41">
        <v>1</v>
      </c>
      <c r="CV45" s="41">
        <v>1</v>
      </c>
      <c r="CW45" s="41">
        <v>1</v>
      </c>
      <c r="CX45" s="41">
        <v>1</v>
      </c>
      <c r="CY45" s="41">
        <v>1</v>
      </c>
      <c r="CZ45" s="41">
        <v>1</v>
      </c>
      <c r="DA45" s="41">
        <v>1</v>
      </c>
      <c r="DB45" s="41">
        <v>1</v>
      </c>
      <c r="DC45" s="41">
        <v>1</v>
      </c>
      <c r="DD45" s="41">
        <v>1</v>
      </c>
      <c r="DE45" s="41">
        <v>1</v>
      </c>
      <c r="DF45" s="41">
        <v>1</v>
      </c>
      <c r="DG45" s="41">
        <v>1</v>
      </c>
      <c r="DH45" s="41">
        <v>1</v>
      </c>
      <c r="DI45" s="41">
        <v>1</v>
      </c>
      <c r="DJ45" s="41">
        <v>1</v>
      </c>
      <c r="DK45" s="41">
        <v>1</v>
      </c>
      <c r="DL45" s="41">
        <v>1</v>
      </c>
      <c r="DM45" s="41">
        <v>1</v>
      </c>
      <c r="DN45" s="41">
        <v>1</v>
      </c>
      <c r="DP45" s="145">
        <f t="shared" si="178"/>
        <v>1</v>
      </c>
      <c r="DQ45" s="145">
        <v>5.12</v>
      </c>
      <c r="DR45" s="145">
        <v>5.24</v>
      </c>
      <c r="DS45" s="145">
        <v>5.24</v>
      </c>
      <c r="DT45" s="145">
        <v>5.26</v>
      </c>
      <c r="DU45" s="145">
        <v>5.37</v>
      </c>
      <c r="DV45" s="41">
        <v>5.35</v>
      </c>
      <c r="DW45" s="41">
        <v>1</v>
      </c>
      <c r="DX45" s="41">
        <v>1</v>
      </c>
      <c r="DY45" s="41">
        <v>1</v>
      </c>
      <c r="DZ45" s="41">
        <v>1</v>
      </c>
      <c r="EA45" s="41">
        <v>1</v>
      </c>
      <c r="EB45" s="41">
        <v>1</v>
      </c>
      <c r="EC45" s="41">
        <v>1</v>
      </c>
      <c r="ED45" s="41">
        <v>1</v>
      </c>
      <c r="EE45" s="41">
        <v>1</v>
      </c>
      <c r="EF45" s="41">
        <v>1</v>
      </c>
      <c r="EG45" s="41">
        <v>1</v>
      </c>
      <c r="EH45" s="41">
        <v>1</v>
      </c>
      <c r="EI45" s="41">
        <v>1</v>
      </c>
      <c r="EJ45" s="41">
        <v>1</v>
      </c>
      <c r="EK45" s="41">
        <v>1</v>
      </c>
      <c r="EL45" s="41">
        <v>1</v>
      </c>
      <c r="EM45" s="41">
        <v>1</v>
      </c>
      <c r="EN45" s="41">
        <v>1</v>
      </c>
      <c r="EO45" s="41">
        <v>1</v>
      </c>
      <c r="EP45" s="41">
        <v>1</v>
      </c>
      <c r="EQ45" s="41">
        <v>1</v>
      </c>
      <c r="ER45" s="41">
        <v>1</v>
      </c>
      <c r="ES45" s="41">
        <v>1</v>
      </c>
      <c r="ET45" s="41">
        <v>1</v>
      </c>
      <c r="EV45" s="145">
        <f t="shared" si="179"/>
        <v>1</v>
      </c>
      <c r="EW45" s="145">
        <v>4.3899999999999997</v>
      </c>
      <c r="EX45" s="145">
        <v>4.46</v>
      </c>
      <c r="EY45" s="145">
        <v>4.46</v>
      </c>
      <c r="EZ45" s="145">
        <v>4.4800000000000004</v>
      </c>
      <c r="FA45" s="145">
        <v>4.57</v>
      </c>
      <c r="FB45" s="41">
        <v>4.55</v>
      </c>
      <c r="FC45" s="41">
        <v>1</v>
      </c>
      <c r="FD45" s="41">
        <v>1</v>
      </c>
      <c r="FE45" s="41">
        <v>1</v>
      </c>
      <c r="FF45" s="41">
        <v>1</v>
      </c>
      <c r="FG45" s="41">
        <v>1</v>
      </c>
      <c r="FH45" s="41">
        <v>1</v>
      </c>
      <c r="FI45" s="41">
        <v>1</v>
      </c>
      <c r="FJ45" s="41">
        <v>1</v>
      </c>
      <c r="FK45" s="41">
        <v>1</v>
      </c>
      <c r="FL45" s="41">
        <v>1</v>
      </c>
      <c r="FM45" s="41">
        <v>1</v>
      </c>
      <c r="FN45" s="41">
        <v>1</v>
      </c>
      <c r="FO45" s="41">
        <v>1</v>
      </c>
      <c r="FP45" s="41">
        <v>1</v>
      </c>
      <c r="FQ45" s="41">
        <v>1</v>
      </c>
      <c r="FR45" s="41">
        <v>1</v>
      </c>
      <c r="FS45" s="41">
        <v>1</v>
      </c>
      <c r="FT45" s="41">
        <v>1</v>
      </c>
      <c r="FU45" s="41">
        <v>1</v>
      </c>
      <c r="FV45" s="41">
        <v>1</v>
      </c>
      <c r="FW45" s="41">
        <v>1</v>
      </c>
      <c r="FX45" s="41">
        <v>1</v>
      </c>
      <c r="FY45" s="41">
        <v>1</v>
      </c>
      <c r="FZ45" s="41">
        <v>1</v>
      </c>
      <c r="GB45" s="145">
        <f t="shared" si="180"/>
        <v>1</v>
      </c>
      <c r="GC45" s="145">
        <v>11.9</v>
      </c>
      <c r="GD45" s="145">
        <v>12.21</v>
      </c>
      <c r="GE45" s="145">
        <v>12.21</v>
      </c>
      <c r="GF45" s="145">
        <v>12.26</v>
      </c>
      <c r="GG45" s="145">
        <v>12.52</v>
      </c>
      <c r="GH45" s="41">
        <v>12.47</v>
      </c>
      <c r="GI45" s="41">
        <v>1</v>
      </c>
      <c r="GJ45" s="41">
        <v>1</v>
      </c>
      <c r="GK45" s="41">
        <v>1</v>
      </c>
      <c r="GL45" s="41">
        <v>1</v>
      </c>
      <c r="GM45" s="41">
        <v>1</v>
      </c>
      <c r="GN45" s="41">
        <v>1</v>
      </c>
      <c r="GO45" s="41">
        <v>1</v>
      </c>
      <c r="GP45" s="41">
        <v>1</v>
      </c>
      <c r="GQ45" s="41">
        <v>1</v>
      </c>
      <c r="GR45" s="41">
        <v>1</v>
      </c>
      <c r="GS45" s="41">
        <v>1</v>
      </c>
      <c r="GT45" s="41">
        <v>1</v>
      </c>
      <c r="GU45" s="41">
        <v>1</v>
      </c>
      <c r="GV45" s="41">
        <v>1</v>
      </c>
      <c r="GW45" s="41">
        <v>1</v>
      </c>
      <c r="GX45" s="41">
        <v>1</v>
      </c>
      <c r="GY45" s="41">
        <v>1</v>
      </c>
      <c r="GZ45" s="41">
        <v>1</v>
      </c>
      <c r="HA45" s="41">
        <v>1</v>
      </c>
      <c r="HB45" s="41">
        <v>1</v>
      </c>
      <c r="HC45" s="41">
        <v>1</v>
      </c>
      <c r="HD45" s="41">
        <v>1</v>
      </c>
      <c r="HE45" s="41">
        <v>1</v>
      </c>
      <c r="HF45" s="41">
        <v>1</v>
      </c>
      <c r="HH45" s="373">
        <v>1</v>
      </c>
      <c r="HI45" s="218">
        <v>0.94</v>
      </c>
      <c r="HJ45" s="229">
        <v>0.94</v>
      </c>
      <c r="HK45" s="229">
        <v>0.94</v>
      </c>
      <c r="HM45" s="373">
        <f t="shared" si="173"/>
        <v>4</v>
      </c>
      <c r="HN45" s="145">
        <v>1</v>
      </c>
      <c r="HO45" s="219">
        <v>1.05</v>
      </c>
      <c r="HP45" s="219">
        <v>1.08</v>
      </c>
      <c r="HQ45" s="219">
        <v>1.1299999999999999</v>
      </c>
    </row>
    <row r="46" spans="1:225" ht="12.75" hidden="1" customHeight="1" x14ac:dyDescent="0.2">
      <c r="A46" s="373">
        <f t="shared" si="172"/>
        <v>42</v>
      </c>
      <c r="B46" s="149" t="s">
        <v>154</v>
      </c>
      <c r="C46" s="150">
        <v>1.089</v>
      </c>
      <c r="D46" s="150">
        <v>0.99199999999999999</v>
      </c>
      <c r="E46" s="150">
        <v>1.38</v>
      </c>
      <c r="F46" s="150">
        <v>1.224</v>
      </c>
      <c r="G46" s="150"/>
      <c r="H46" s="226">
        <f ca="1">OFFSET($HH46,0,'Расчет стоимости'!$M$10,1,1)</f>
        <v>0.94</v>
      </c>
      <c r="I46" s="150">
        <v>1</v>
      </c>
      <c r="J46" s="150">
        <v>1</v>
      </c>
      <c r="K46" s="149">
        <v>1</v>
      </c>
      <c r="L46" s="149">
        <v>1</v>
      </c>
      <c r="M46" s="372">
        <v>6.0000000000000001E-3</v>
      </c>
      <c r="N46" s="145">
        <v>4.0000000000000001E-3</v>
      </c>
      <c r="O46" s="145">
        <v>3.0000000000000001E-3</v>
      </c>
      <c r="P46" s="145">
        <v>6.9999999999999993E-3</v>
      </c>
      <c r="Q46" s="145">
        <v>0</v>
      </c>
      <c r="R46" s="152" t="s">
        <v>239</v>
      </c>
      <c r="T46" s="225">
        <f t="shared" ref="T46:W65" si="181">IF(IFERROR(HLOOKUP(T$5,$HN$5:$IQ$91,$A46,FALSE),0)=0,1,HLOOKUP(T$5,$HN$5:$IQ$91,$A46,FALSE))</f>
        <v>1</v>
      </c>
      <c r="U46" s="225">
        <f t="shared" si="181"/>
        <v>1</v>
      </c>
      <c r="V46" s="225">
        <f t="shared" si="181"/>
        <v>1</v>
      </c>
      <c r="W46" s="225">
        <f t="shared" si="181"/>
        <v>1</v>
      </c>
      <c r="X46" s="145">
        <f t="shared" si="175"/>
        <v>1</v>
      </c>
      <c r="Y46" s="145">
        <v>6.62</v>
      </c>
      <c r="Z46" s="145">
        <v>6.62</v>
      </c>
      <c r="AA46" s="145">
        <v>6.62</v>
      </c>
      <c r="AB46" s="145">
        <v>6.65</v>
      </c>
      <c r="AC46" s="145">
        <v>6.79</v>
      </c>
      <c r="AD46" s="41">
        <v>6.76</v>
      </c>
      <c r="AE46" s="41">
        <v>1</v>
      </c>
      <c r="AF46" s="41">
        <v>1</v>
      </c>
      <c r="AG46" s="41">
        <v>1</v>
      </c>
      <c r="AH46" s="41">
        <v>1</v>
      </c>
      <c r="AI46" s="41">
        <v>1</v>
      </c>
      <c r="AJ46" s="41">
        <v>1</v>
      </c>
      <c r="AK46" s="41">
        <v>1</v>
      </c>
      <c r="AL46" s="41">
        <v>1</v>
      </c>
      <c r="AM46" s="41">
        <v>1</v>
      </c>
      <c r="AN46" s="41">
        <v>1</v>
      </c>
      <c r="AO46" s="41">
        <v>1</v>
      </c>
      <c r="AP46" s="41">
        <v>1</v>
      </c>
      <c r="AQ46" s="41">
        <v>1</v>
      </c>
      <c r="AR46" s="41">
        <v>1</v>
      </c>
      <c r="AS46" s="41">
        <v>1</v>
      </c>
      <c r="AT46" s="41">
        <v>1</v>
      </c>
      <c r="AU46" s="41">
        <v>1</v>
      </c>
      <c r="AV46" s="41">
        <v>1</v>
      </c>
      <c r="AW46" s="41">
        <v>1</v>
      </c>
      <c r="AX46" s="41">
        <v>1</v>
      </c>
      <c r="AY46" s="41">
        <v>1</v>
      </c>
      <c r="AZ46" s="41">
        <v>1</v>
      </c>
      <c r="BA46" s="41">
        <v>1</v>
      </c>
      <c r="BB46" s="41">
        <v>1</v>
      </c>
      <c r="BD46" s="145">
        <f t="shared" si="176"/>
        <v>1</v>
      </c>
      <c r="BE46" s="145">
        <v>4.5199999999999996</v>
      </c>
      <c r="BF46" s="145">
        <v>4.49</v>
      </c>
      <c r="BG46" s="145">
        <v>4.49</v>
      </c>
      <c r="BH46" s="145">
        <v>4.51</v>
      </c>
      <c r="BI46" s="145">
        <v>4.59</v>
      </c>
      <c r="BJ46" s="41">
        <v>4.57</v>
      </c>
      <c r="BK46" s="41">
        <v>1</v>
      </c>
      <c r="BL46" s="41">
        <v>1</v>
      </c>
      <c r="BM46" s="41">
        <v>1</v>
      </c>
      <c r="BN46" s="41">
        <v>1</v>
      </c>
      <c r="BO46" s="41">
        <v>1</v>
      </c>
      <c r="BP46" s="41">
        <v>1</v>
      </c>
      <c r="BQ46" s="41">
        <v>1</v>
      </c>
      <c r="BR46" s="41">
        <v>1</v>
      </c>
      <c r="BS46" s="41">
        <v>1</v>
      </c>
      <c r="BT46" s="41">
        <v>1</v>
      </c>
      <c r="BU46" s="41">
        <v>1</v>
      </c>
      <c r="BV46" s="41">
        <v>1</v>
      </c>
      <c r="BW46" s="41">
        <v>1</v>
      </c>
      <c r="BX46" s="41">
        <v>1</v>
      </c>
      <c r="BY46" s="41">
        <v>1</v>
      </c>
      <c r="BZ46" s="41">
        <v>1</v>
      </c>
      <c r="CA46" s="41">
        <v>1</v>
      </c>
      <c r="CB46" s="41">
        <v>1</v>
      </c>
      <c r="CC46" s="41">
        <v>1</v>
      </c>
      <c r="CD46" s="41">
        <v>1</v>
      </c>
      <c r="CE46" s="41">
        <v>1</v>
      </c>
      <c r="CF46" s="41">
        <v>1</v>
      </c>
      <c r="CG46" s="41">
        <v>1</v>
      </c>
      <c r="CH46" s="41">
        <v>1</v>
      </c>
      <c r="CJ46" s="145">
        <f t="shared" si="177"/>
        <v>1</v>
      </c>
      <c r="CK46" s="145">
        <v>3.99</v>
      </c>
      <c r="CL46" s="145">
        <v>3.87</v>
      </c>
      <c r="CM46" s="145">
        <v>3.87</v>
      </c>
      <c r="CN46" s="145">
        <v>3.89</v>
      </c>
      <c r="CO46" s="145">
        <v>3.97</v>
      </c>
      <c r="CP46" s="41">
        <v>3.95</v>
      </c>
      <c r="CQ46" s="41">
        <v>1</v>
      </c>
      <c r="CR46" s="41">
        <v>1</v>
      </c>
      <c r="CS46" s="41">
        <v>1</v>
      </c>
      <c r="CT46" s="41">
        <v>1</v>
      </c>
      <c r="CU46" s="41">
        <v>1</v>
      </c>
      <c r="CV46" s="41">
        <v>1</v>
      </c>
      <c r="CW46" s="41">
        <v>1</v>
      </c>
      <c r="CX46" s="41">
        <v>1</v>
      </c>
      <c r="CY46" s="41">
        <v>1</v>
      </c>
      <c r="CZ46" s="41">
        <v>1</v>
      </c>
      <c r="DA46" s="41">
        <v>1</v>
      </c>
      <c r="DB46" s="41">
        <v>1</v>
      </c>
      <c r="DC46" s="41">
        <v>1</v>
      </c>
      <c r="DD46" s="41">
        <v>1</v>
      </c>
      <c r="DE46" s="41">
        <v>1</v>
      </c>
      <c r="DF46" s="41">
        <v>1</v>
      </c>
      <c r="DG46" s="41">
        <v>1</v>
      </c>
      <c r="DH46" s="41">
        <v>1</v>
      </c>
      <c r="DI46" s="41">
        <v>1</v>
      </c>
      <c r="DJ46" s="41">
        <v>1</v>
      </c>
      <c r="DK46" s="41">
        <v>1</v>
      </c>
      <c r="DL46" s="41">
        <v>1</v>
      </c>
      <c r="DM46" s="41">
        <v>1</v>
      </c>
      <c r="DN46" s="41">
        <v>1</v>
      </c>
      <c r="DP46" s="145">
        <f t="shared" si="178"/>
        <v>1</v>
      </c>
      <c r="DQ46" s="145">
        <v>6.18</v>
      </c>
      <c r="DR46" s="145">
        <v>6.13</v>
      </c>
      <c r="DS46" s="145">
        <v>6.13</v>
      </c>
      <c r="DT46" s="145">
        <v>6.15</v>
      </c>
      <c r="DU46" s="145">
        <v>6.28</v>
      </c>
      <c r="DV46" s="41">
        <v>6.25</v>
      </c>
      <c r="DW46" s="41">
        <v>1</v>
      </c>
      <c r="DX46" s="41">
        <v>1</v>
      </c>
      <c r="DY46" s="41">
        <v>1</v>
      </c>
      <c r="DZ46" s="41">
        <v>1</v>
      </c>
      <c r="EA46" s="41">
        <v>1</v>
      </c>
      <c r="EB46" s="41">
        <v>1</v>
      </c>
      <c r="EC46" s="41">
        <v>1</v>
      </c>
      <c r="ED46" s="41">
        <v>1</v>
      </c>
      <c r="EE46" s="41">
        <v>1</v>
      </c>
      <c r="EF46" s="41">
        <v>1</v>
      </c>
      <c r="EG46" s="41">
        <v>1</v>
      </c>
      <c r="EH46" s="41">
        <v>1</v>
      </c>
      <c r="EI46" s="41">
        <v>1</v>
      </c>
      <c r="EJ46" s="41">
        <v>1</v>
      </c>
      <c r="EK46" s="41">
        <v>1</v>
      </c>
      <c r="EL46" s="41">
        <v>1</v>
      </c>
      <c r="EM46" s="41">
        <v>1</v>
      </c>
      <c r="EN46" s="41">
        <v>1</v>
      </c>
      <c r="EO46" s="41">
        <v>1</v>
      </c>
      <c r="EP46" s="41">
        <v>1</v>
      </c>
      <c r="EQ46" s="41">
        <v>1</v>
      </c>
      <c r="ER46" s="41">
        <v>1</v>
      </c>
      <c r="ES46" s="41">
        <v>1</v>
      </c>
      <c r="ET46" s="41">
        <v>1</v>
      </c>
      <c r="EV46" s="145">
        <f t="shared" si="179"/>
        <v>1</v>
      </c>
      <c r="EW46" s="145">
        <v>4.59</v>
      </c>
      <c r="EX46" s="145">
        <v>4.4000000000000004</v>
      </c>
      <c r="EY46" s="145">
        <v>4.4000000000000004</v>
      </c>
      <c r="EZ46" s="145">
        <v>4.42</v>
      </c>
      <c r="FA46" s="145">
        <v>4.51</v>
      </c>
      <c r="FB46" s="41">
        <v>4.49</v>
      </c>
      <c r="FC46" s="41">
        <v>1</v>
      </c>
      <c r="FD46" s="41">
        <v>1</v>
      </c>
      <c r="FE46" s="41">
        <v>1</v>
      </c>
      <c r="FF46" s="41">
        <v>1</v>
      </c>
      <c r="FG46" s="41">
        <v>1</v>
      </c>
      <c r="FH46" s="41">
        <v>1</v>
      </c>
      <c r="FI46" s="41">
        <v>1</v>
      </c>
      <c r="FJ46" s="41">
        <v>1</v>
      </c>
      <c r="FK46" s="41">
        <v>1</v>
      </c>
      <c r="FL46" s="41">
        <v>1</v>
      </c>
      <c r="FM46" s="41">
        <v>1</v>
      </c>
      <c r="FN46" s="41">
        <v>1</v>
      </c>
      <c r="FO46" s="41">
        <v>1</v>
      </c>
      <c r="FP46" s="41">
        <v>1</v>
      </c>
      <c r="FQ46" s="41">
        <v>1</v>
      </c>
      <c r="FR46" s="41">
        <v>1</v>
      </c>
      <c r="FS46" s="41">
        <v>1</v>
      </c>
      <c r="FT46" s="41">
        <v>1</v>
      </c>
      <c r="FU46" s="41">
        <v>1</v>
      </c>
      <c r="FV46" s="41">
        <v>1</v>
      </c>
      <c r="FW46" s="41">
        <v>1</v>
      </c>
      <c r="FX46" s="41">
        <v>1</v>
      </c>
      <c r="FY46" s="41">
        <v>1</v>
      </c>
      <c r="FZ46" s="41">
        <v>1</v>
      </c>
      <c r="GB46" s="145">
        <f t="shared" si="180"/>
        <v>1</v>
      </c>
      <c r="GC46" s="145">
        <v>15.39</v>
      </c>
      <c r="GD46" s="145">
        <v>15.58</v>
      </c>
      <c r="GE46" s="145">
        <v>15.58</v>
      </c>
      <c r="GF46" s="145">
        <v>15.64</v>
      </c>
      <c r="GG46" s="145">
        <v>15.97</v>
      </c>
      <c r="GH46" s="41">
        <v>15.91</v>
      </c>
      <c r="GI46" s="41">
        <v>1</v>
      </c>
      <c r="GJ46" s="41">
        <v>1</v>
      </c>
      <c r="GK46" s="41">
        <v>1</v>
      </c>
      <c r="GL46" s="41">
        <v>1</v>
      </c>
      <c r="GM46" s="41">
        <v>1</v>
      </c>
      <c r="GN46" s="41">
        <v>1</v>
      </c>
      <c r="GO46" s="41">
        <v>1</v>
      </c>
      <c r="GP46" s="41">
        <v>1</v>
      </c>
      <c r="GQ46" s="41">
        <v>1</v>
      </c>
      <c r="GR46" s="41">
        <v>1</v>
      </c>
      <c r="GS46" s="41">
        <v>1</v>
      </c>
      <c r="GT46" s="41">
        <v>1</v>
      </c>
      <c r="GU46" s="41">
        <v>1</v>
      </c>
      <c r="GV46" s="41">
        <v>1</v>
      </c>
      <c r="GW46" s="41">
        <v>1</v>
      </c>
      <c r="GX46" s="41">
        <v>1</v>
      </c>
      <c r="GY46" s="41">
        <v>1</v>
      </c>
      <c r="GZ46" s="41">
        <v>1</v>
      </c>
      <c r="HA46" s="41">
        <v>1</v>
      </c>
      <c r="HB46" s="41">
        <v>1</v>
      </c>
      <c r="HC46" s="41">
        <v>1</v>
      </c>
      <c r="HD46" s="41">
        <v>1</v>
      </c>
      <c r="HE46" s="41">
        <v>1</v>
      </c>
      <c r="HF46" s="41">
        <v>1</v>
      </c>
      <c r="HH46" s="373">
        <v>1</v>
      </c>
      <c r="HI46" s="218">
        <v>0.94</v>
      </c>
      <c r="HJ46" s="229">
        <v>0.94</v>
      </c>
      <c r="HK46" s="229">
        <v>0.94</v>
      </c>
      <c r="HM46" s="373">
        <f t="shared" si="173"/>
        <v>1</v>
      </c>
      <c r="HN46" s="145">
        <v>1</v>
      </c>
    </row>
    <row r="47" spans="1:225" ht="12.75" hidden="1" customHeight="1" x14ac:dyDescent="0.2">
      <c r="A47" s="373">
        <f t="shared" si="172"/>
        <v>43</v>
      </c>
      <c r="B47" s="149" t="s">
        <v>157</v>
      </c>
      <c r="C47" s="150">
        <v>0.89</v>
      </c>
      <c r="D47" s="150">
        <v>0.92200000000000004</v>
      </c>
      <c r="E47" s="150">
        <v>0.78200000000000003</v>
      </c>
      <c r="F47" s="150">
        <v>0.88500000000000001</v>
      </c>
      <c r="G47" s="150"/>
      <c r="H47" s="226">
        <f ca="1">OFFSET($HH47,0,'Расчет стоимости'!$M$10,1,1)</f>
        <v>0.94</v>
      </c>
      <c r="I47" s="150">
        <v>1</v>
      </c>
      <c r="J47" s="150">
        <v>1</v>
      </c>
      <c r="K47" s="149">
        <v>1</v>
      </c>
      <c r="L47" s="149">
        <v>1</v>
      </c>
      <c r="M47" s="372">
        <v>6.0000000000000001E-3</v>
      </c>
      <c r="N47" s="145">
        <v>4.0000000000000001E-3</v>
      </c>
      <c r="O47" s="145">
        <v>3.0000000000000001E-3</v>
      </c>
      <c r="P47" s="145">
        <v>6.9999999999999993E-3</v>
      </c>
      <c r="Q47" s="145">
        <v>0</v>
      </c>
      <c r="R47" s="152" t="s">
        <v>239</v>
      </c>
      <c r="T47" s="225">
        <f t="shared" si="181"/>
        <v>1</v>
      </c>
      <c r="U47" s="225">
        <f t="shared" si="181"/>
        <v>1</v>
      </c>
      <c r="V47" s="225">
        <f t="shared" si="181"/>
        <v>1</v>
      </c>
      <c r="W47" s="225">
        <f t="shared" si="181"/>
        <v>1</v>
      </c>
      <c r="X47" s="145">
        <f t="shared" si="175"/>
        <v>1</v>
      </c>
      <c r="Y47" s="145">
        <v>5.68</v>
      </c>
      <c r="Z47" s="145">
        <v>5.64</v>
      </c>
      <c r="AA47" s="145">
        <v>5.64</v>
      </c>
      <c r="AB47" s="145">
        <v>5.66</v>
      </c>
      <c r="AC47" s="145">
        <v>5.78</v>
      </c>
      <c r="AD47" s="41">
        <v>5.76</v>
      </c>
      <c r="AE47" s="41">
        <v>1</v>
      </c>
      <c r="AF47" s="41">
        <v>1</v>
      </c>
      <c r="AG47" s="41">
        <v>1</v>
      </c>
      <c r="AH47" s="41">
        <v>1</v>
      </c>
      <c r="AI47" s="41">
        <v>1</v>
      </c>
      <c r="AJ47" s="41">
        <v>1</v>
      </c>
      <c r="AK47" s="41">
        <v>1</v>
      </c>
      <c r="AL47" s="41">
        <v>1</v>
      </c>
      <c r="AM47" s="41">
        <v>1</v>
      </c>
      <c r="AN47" s="41">
        <v>1</v>
      </c>
      <c r="AO47" s="41">
        <v>1</v>
      </c>
      <c r="AP47" s="41">
        <v>1</v>
      </c>
      <c r="AQ47" s="41">
        <v>1</v>
      </c>
      <c r="AR47" s="41">
        <v>1</v>
      </c>
      <c r="AS47" s="41">
        <v>1</v>
      </c>
      <c r="AT47" s="41">
        <v>1</v>
      </c>
      <c r="AU47" s="41">
        <v>1</v>
      </c>
      <c r="AV47" s="41">
        <v>1</v>
      </c>
      <c r="AW47" s="41">
        <v>1</v>
      </c>
      <c r="AX47" s="41">
        <v>1</v>
      </c>
      <c r="AY47" s="41">
        <v>1</v>
      </c>
      <c r="AZ47" s="41">
        <v>1</v>
      </c>
      <c r="BA47" s="41">
        <v>1</v>
      </c>
      <c r="BB47" s="41">
        <v>1</v>
      </c>
      <c r="BD47" s="145">
        <f t="shared" si="176"/>
        <v>1</v>
      </c>
      <c r="BE47" s="145">
        <v>3.6</v>
      </c>
      <c r="BF47" s="145">
        <v>3.58</v>
      </c>
      <c r="BG47" s="145">
        <v>3.58</v>
      </c>
      <c r="BH47" s="145">
        <v>3.59</v>
      </c>
      <c r="BI47" s="145">
        <v>3.67</v>
      </c>
      <c r="BJ47" s="41">
        <v>3.66</v>
      </c>
      <c r="BK47" s="41">
        <v>1</v>
      </c>
      <c r="BL47" s="41">
        <v>1</v>
      </c>
      <c r="BM47" s="41">
        <v>1</v>
      </c>
      <c r="BN47" s="41">
        <v>1</v>
      </c>
      <c r="BO47" s="41">
        <v>1</v>
      </c>
      <c r="BP47" s="41">
        <v>1</v>
      </c>
      <c r="BQ47" s="41">
        <v>1</v>
      </c>
      <c r="BR47" s="41">
        <v>1</v>
      </c>
      <c r="BS47" s="41">
        <v>1</v>
      </c>
      <c r="BT47" s="41">
        <v>1</v>
      </c>
      <c r="BU47" s="41">
        <v>1</v>
      </c>
      <c r="BV47" s="41">
        <v>1</v>
      </c>
      <c r="BW47" s="41">
        <v>1</v>
      </c>
      <c r="BX47" s="41">
        <v>1</v>
      </c>
      <c r="BY47" s="41">
        <v>1</v>
      </c>
      <c r="BZ47" s="41">
        <v>1</v>
      </c>
      <c r="CA47" s="41">
        <v>1</v>
      </c>
      <c r="CB47" s="41">
        <v>1</v>
      </c>
      <c r="CC47" s="41">
        <v>1</v>
      </c>
      <c r="CD47" s="41">
        <v>1</v>
      </c>
      <c r="CE47" s="41">
        <v>1</v>
      </c>
      <c r="CF47" s="41">
        <v>1</v>
      </c>
      <c r="CG47" s="41">
        <v>1</v>
      </c>
      <c r="CH47" s="41">
        <v>1</v>
      </c>
      <c r="CJ47" s="145">
        <f t="shared" si="177"/>
        <v>1</v>
      </c>
      <c r="CK47" s="145">
        <v>3.84</v>
      </c>
      <c r="CL47" s="145">
        <v>3.81</v>
      </c>
      <c r="CM47" s="145">
        <v>3.81</v>
      </c>
      <c r="CN47" s="145">
        <v>3.83</v>
      </c>
      <c r="CO47" s="145">
        <v>3.91</v>
      </c>
      <c r="CP47" s="41">
        <v>3.89</v>
      </c>
      <c r="CQ47" s="41">
        <v>1</v>
      </c>
      <c r="CR47" s="41">
        <v>1</v>
      </c>
      <c r="CS47" s="41">
        <v>1</v>
      </c>
      <c r="CT47" s="41">
        <v>1</v>
      </c>
      <c r="CU47" s="41">
        <v>1</v>
      </c>
      <c r="CV47" s="41">
        <v>1</v>
      </c>
      <c r="CW47" s="41">
        <v>1</v>
      </c>
      <c r="CX47" s="41">
        <v>1</v>
      </c>
      <c r="CY47" s="41">
        <v>1</v>
      </c>
      <c r="CZ47" s="41">
        <v>1</v>
      </c>
      <c r="DA47" s="41">
        <v>1</v>
      </c>
      <c r="DB47" s="41">
        <v>1</v>
      </c>
      <c r="DC47" s="41">
        <v>1</v>
      </c>
      <c r="DD47" s="41">
        <v>1</v>
      </c>
      <c r="DE47" s="41">
        <v>1</v>
      </c>
      <c r="DF47" s="41">
        <v>1</v>
      </c>
      <c r="DG47" s="41">
        <v>1</v>
      </c>
      <c r="DH47" s="41">
        <v>1</v>
      </c>
      <c r="DI47" s="41">
        <v>1</v>
      </c>
      <c r="DJ47" s="41">
        <v>1</v>
      </c>
      <c r="DK47" s="41">
        <v>1</v>
      </c>
      <c r="DL47" s="41">
        <v>1</v>
      </c>
      <c r="DM47" s="41">
        <v>1</v>
      </c>
      <c r="DN47" s="41">
        <v>1</v>
      </c>
      <c r="DP47" s="145">
        <f t="shared" si="178"/>
        <v>1</v>
      </c>
      <c r="DQ47" s="145">
        <v>4.21</v>
      </c>
      <c r="DR47" s="145">
        <v>4.18</v>
      </c>
      <c r="DS47" s="145">
        <v>4.18</v>
      </c>
      <c r="DT47" s="145">
        <v>4.2</v>
      </c>
      <c r="DU47" s="145">
        <v>4.29</v>
      </c>
      <c r="DV47" s="41">
        <v>4.2699999999999996</v>
      </c>
      <c r="DW47" s="41">
        <v>1</v>
      </c>
      <c r="DX47" s="41">
        <v>1</v>
      </c>
      <c r="DY47" s="41">
        <v>1</v>
      </c>
      <c r="DZ47" s="41">
        <v>1</v>
      </c>
      <c r="EA47" s="41">
        <v>1</v>
      </c>
      <c r="EB47" s="41">
        <v>1</v>
      </c>
      <c r="EC47" s="41">
        <v>1</v>
      </c>
      <c r="ED47" s="41">
        <v>1</v>
      </c>
      <c r="EE47" s="41">
        <v>1</v>
      </c>
      <c r="EF47" s="41">
        <v>1</v>
      </c>
      <c r="EG47" s="41">
        <v>1</v>
      </c>
      <c r="EH47" s="41">
        <v>1</v>
      </c>
      <c r="EI47" s="41">
        <v>1</v>
      </c>
      <c r="EJ47" s="41">
        <v>1</v>
      </c>
      <c r="EK47" s="41">
        <v>1</v>
      </c>
      <c r="EL47" s="41">
        <v>1</v>
      </c>
      <c r="EM47" s="41">
        <v>1</v>
      </c>
      <c r="EN47" s="41">
        <v>1</v>
      </c>
      <c r="EO47" s="41">
        <v>1</v>
      </c>
      <c r="EP47" s="41">
        <v>1</v>
      </c>
      <c r="EQ47" s="41">
        <v>1</v>
      </c>
      <c r="ER47" s="41">
        <v>1</v>
      </c>
      <c r="ES47" s="41">
        <v>1</v>
      </c>
      <c r="ET47" s="41">
        <v>1</v>
      </c>
      <c r="EV47" s="145">
        <f t="shared" si="179"/>
        <v>1</v>
      </c>
      <c r="EW47" s="145">
        <v>4.1500000000000004</v>
      </c>
      <c r="EX47" s="145">
        <v>4.12</v>
      </c>
      <c r="EY47" s="145">
        <v>4.12</v>
      </c>
      <c r="EZ47" s="145">
        <v>4.1399999999999997</v>
      </c>
      <c r="FA47" s="145">
        <v>4.2300000000000004</v>
      </c>
      <c r="FB47" s="41">
        <v>4.21</v>
      </c>
      <c r="FC47" s="41">
        <v>1</v>
      </c>
      <c r="FD47" s="41">
        <v>1</v>
      </c>
      <c r="FE47" s="41">
        <v>1</v>
      </c>
      <c r="FF47" s="41">
        <v>1</v>
      </c>
      <c r="FG47" s="41">
        <v>1</v>
      </c>
      <c r="FH47" s="41">
        <v>1</v>
      </c>
      <c r="FI47" s="41">
        <v>1</v>
      </c>
      <c r="FJ47" s="41">
        <v>1</v>
      </c>
      <c r="FK47" s="41">
        <v>1</v>
      </c>
      <c r="FL47" s="41">
        <v>1</v>
      </c>
      <c r="FM47" s="41">
        <v>1</v>
      </c>
      <c r="FN47" s="41">
        <v>1</v>
      </c>
      <c r="FO47" s="41">
        <v>1</v>
      </c>
      <c r="FP47" s="41">
        <v>1</v>
      </c>
      <c r="FQ47" s="41">
        <v>1</v>
      </c>
      <c r="FR47" s="41">
        <v>1</v>
      </c>
      <c r="FS47" s="41">
        <v>1</v>
      </c>
      <c r="FT47" s="41">
        <v>1</v>
      </c>
      <c r="FU47" s="41">
        <v>1</v>
      </c>
      <c r="FV47" s="41">
        <v>1</v>
      </c>
      <c r="FW47" s="41">
        <v>1</v>
      </c>
      <c r="FX47" s="41">
        <v>1</v>
      </c>
      <c r="FY47" s="41">
        <v>1</v>
      </c>
      <c r="FZ47" s="41">
        <v>1</v>
      </c>
      <c r="GB47" s="145">
        <f t="shared" si="180"/>
        <v>1</v>
      </c>
      <c r="GC47" s="145">
        <v>10.91</v>
      </c>
      <c r="GD47" s="145">
        <v>10.84</v>
      </c>
      <c r="GE47" s="145">
        <v>10.84</v>
      </c>
      <c r="GF47" s="145">
        <v>10.88</v>
      </c>
      <c r="GG47" s="145">
        <v>11.11</v>
      </c>
      <c r="GH47" s="41">
        <v>11.07</v>
      </c>
      <c r="GI47" s="41">
        <v>1</v>
      </c>
      <c r="GJ47" s="41">
        <v>1</v>
      </c>
      <c r="GK47" s="41">
        <v>1</v>
      </c>
      <c r="GL47" s="41">
        <v>1</v>
      </c>
      <c r="GM47" s="41">
        <v>1</v>
      </c>
      <c r="GN47" s="41">
        <v>1</v>
      </c>
      <c r="GO47" s="41">
        <v>1</v>
      </c>
      <c r="GP47" s="41">
        <v>1</v>
      </c>
      <c r="GQ47" s="41">
        <v>1</v>
      </c>
      <c r="GR47" s="41">
        <v>1</v>
      </c>
      <c r="GS47" s="41">
        <v>1</v>
      </c>
      <c r="GT47" s="41">
        <v>1</v>
      </c>
      <c r="GU47" s="41">
        <v>1</v>
      </c>
      <c r="GV47" s="41">
        <v>1</v>
      </c>
      <c r="GW47" s="41">
        <v>1</v>
      </c>
      <c r="GX47" s="41">
        <v>1</v>
      </c>
      <c r="GY47" s="41">
        <v>1</v>
      </c>
      <c r="GZ47" s="41">
        <v>1</v>
      </c>
      <c r="HA47" s="41">
        <v>1</v>
      </c>
      <c r="HB47" s="41">
        <v>1</v>
      </c>
      <c r="HC47" s="41">
        <v>1</v>
      </c>
      <c r="HD47" s="41">
        <v>1</v>
      </c>
      <c r="HE47" s="41">
        <v>1</v>
      </c>
      <c r="HF47" s="41">
        <v>1</v>
      </c>
      <c r="HH47" s="373">
        <v>1</v>
      </c>
      <c r="HI47" s="218">
        <v>0.94</v>
      </c>
      <c r="HJ47" s="229">
        <v>0.94</v>
      </c>
      <c r="HK47" s="229">
        <v>0.94</v>
      </c>
      <c r="HM47" s="373">
        <f t="shared" si="173"/>
        <v>1</v>
      </c>
      <c r="HN47" s="145">
        <v>1</v>
      </c>
    </row>
    <row r="48" spans="1:225" ht="12.75" hidden="1" customHeight="1" x14ac:dyDescent="0.2">
      <c r="A48" s="373">
        <f t="shared" si="172"/>
        <v>44</v>
      </c>
      <c r="B48" s="149" t="s">
        <v>159</v>
      </c>
      <c r="C48" s="150">
        <v>1.133</v>
      </c>
      <c r="D48" s="150">
        <v>1.0840000000000001</v>
      </c>
      <c r="E48" s="150">
        <v>1.2649999999999999</v>
      </c>
      <c r="F48" s="150">
        <v>1.2470000000000001</v>
      </c>
      <c r="G48" s="150"/>
      <c r="H48" s="226">
        <f ca="1">OFFSET($HH48,0,'Расчет стоимости'!$M$10,1,1)</f>
        <v>1.0900000000000001</v>
      </c>
      <c r="I48" s="150">
        <v>1</v>
      </c>
      <c r="J48" s="150">
        <v>1</v>
      </c>
      <c r="K48" s="149">
        <v>1</v>
      </c>
      <c r="L48" s="149">
        <v>1</v>
      </c>
      <c r="M48" s="372">
        <v>3.2000000000000001E-2</v>
      </c>
      <c r="N48" s="145">
        <v>2.8999999999999998E-2</v>
      </c>
      <c r="O48" s="145">
        <v>1.3000000000000001E-2</v>
      </c>
      <c r="P48" s="145">
        <v>0.04</v>
      </c>
      <c r="Q48" s="145">
        <v>3.0000000000000001E-3</v>
      </c>
      <c r="R48" s="152" t="s">
        <v>236</v>
      </c>
      <c r="T48" s="225">
        <f t="shared" si="181"/>
        <v>1</v>
      </c>
      <c r="U48" s="225">
        <f t="shared" si="181"/>
        <v>1</v>
      </c>
      <c r="V48" s="225">
        <f t="shared" si="181"/>
        <v>1</v>
      </c>
      <c r="W48" s="225">
        <f t="shared" si="181"/>
        <v>1</v>
      </c>
      <c r="X48" s="145">
        <f t="shared" si="175"/>
        <v>1</v>
      </c>
      <c r="Y48" s="145">
        <v>5.73</v>
      </c>
      <c r="Z48" s="145">
        <v>5.83</v>
      </c>
      <c r="AA48" s="145">
        <v>5.83</v>
      </c>
      <c r="AB48" s="145">
        <v>5.85</v>
      </c>
      <c r="AC48" s="145">
        <v>5.97</v>
      </c>
      <c r="AD48" s="41">
        <v>5.95</v>
      </c>
      <c r="AE48" s="41">
        <v>1</v>
      </c>
      <c r="AF48" s="41">
        <v>1</v>
      </c>
      <c r="AG48" s="41">
        <v>1</v>
      </c>
      <c r="AH48" s="41">
        <v>1</v>
      </c>
      <c r="AI48" s="41">
        <v>1</v>
      </c>
      <c r="AJ48" s="41">
        <v>1</v>
      </c>
      <c r="AK48" s="41">
        <v>1</v>
      </c>
      <c r="AL48" s="41">
        <v>1</v>
      </c>
      <c r="AM48" s="41">
        <v>1</v>
      </c>
      <c r="AN48" s="41">
        <v>1</v>
      </c>
      <c r="AO48" s="41">
        <v>1</v>
      </c>
      <c r="AP48" s="41">
        <v>1</v>
      </c>
      <c r="AQ48" s="41">
        <v>1</v>
      </c>
      <c r="AR48" s="41">
        <v>1</v>
      </c>
      <c r="AS48" s="41">
        <v>1</v>
      </c>
      <c r="AT48" s="41">
        <v>1</v>
      </c>
      <c r="AU48" s="41">
        <v>1</v>
      </c>
      <c r="AV48" s="41">
        <v>1</v>
      </c>
      <c r="AW48" s="41">
        <v>1</v>
      </c>
      <c r="AX48" s="41">
        <v>1</v>
      </c>
      <c r="AY48" s="41">
        <v>1</v>
      </c>
      <c r="AZ48" s="41">
        <v>1</v>
      </c>
      <c r="BA48" s="41">
        <v>1</v>
      </c>
      <c r="BB48" s="41">
        <v>1</v>
      </c>
      <c r="BD48" s="145">
        <f t="shared" si="176"/>
        <v>1</v>
      </c>
      <c r="BE48" s="145">
        <v>3.73</v>
      </c>
      <c r="BF48" s="145">
        <v>3.38</v>
      </c>
      <c r="BG48" s="145">
        <v>3.38</v>
      </c>
      <c r="BH48" s="145">
        <v>3.39</v>
      </c>
      <c r="BI48" s="145">
        <v>3.44</v>
      </c>
      <c r="BJ48" s="41">
        <v>3.43</v>
      </c>
      <c r="BK48" s="41">
        <v>1</v>
      </c>
      <c r="BL48" s="41">
        <v>1</v>
      </c>
      <c r="BM48" s="41">
        <v>1</v>
      </c>
      <c r="BN48" s="41">
        <v>1</v>
      </c>
      <c r="BO48" s="41">
        <v>1</v>
      </c>
      <c r="BP48" s="41">
        <v>1</v>
      </c>
      <c r="BQ48" s="41">
        <v>1</v>
      </c>
      <c r="BR48" s="41">
        <v>1</v>
      </c>
      <c r="BS48" s="41">
        <v>1</v>
      </c>
      <c r="BT48" s="41">
        <v>1</v>
      </c>
      <c r="BU48" s="41">
        <v>1</v>
      </c>
      <c r="BV48" s="41">
        <v>1</v>
      </c>
      <c r="BW48" s="41">
        <v>1</v>
      </c>
      <c r="BX48" s="41">
        <v>1</v>
      </c>
      <c r="BY48" s="41">
        <v>1</v>
      </c>
      <c r="BZ48" s="41">
        <v>1</v>
      </c>
      <c r="CA48" s="41">
        <v>1</v>
      </c>
      <c r="CB48" s="41">
        <v>1</v>
      </c>
      <c r="CC48" s="41">
        <v>1</v>
      </c>
      <c r="CD48" s="41">
        <v>1</v>
      </c>
      <c r="CE48" s="41">
        <v>1</v>
      </c>
      <c r="CF48" s="41">
        <v>1</v>
      </c>
      <c r="CG48" s="41">
        <v>1</v>
      </c>
      <c r="CH48" s="41">
        <v>1</v>
      </c>
      <c r="CJ48" s="145">
        <f t="shared" si="177"/>
        <v>1</v>
      </c>
      <c r="CK48" s="145">
        <v>4.43</v>
      </c>
      <c r="CL48" s="145">
        <v>3.47</v>
      </c>
      <c r="CM48" s="145">
        <v>3.47</v>
      </c>
      <c r="CN48" s="145">
        <v>3.48</v>
      </c>
      <c r="CO48" s="145">
        <v>3.55</v>
      </c>
      <c r="CP48" s="41">
        <v>3.54</v>
      </c>
      <c r="CQ48" s="41">
        <v>1</v>
      </c>
      <c r="CR48" s="41">
        <v>1</v>
      </c>
      <c r="CS48" s="41">
        <v>1</v>
      </c>
      <c r="CT48" s="41">
        <v>1</v>
      </c>
      <c r="CU48" s="41">
        <v>1</v>
      </c>
      <c r="CV48" s="41">
        <v>1</v>
      </c>
      <c r="CW48" s="41">
        <v>1</v>
      </c>
      <c r="CX48" s="41">
        <v>1</v>
      </c>
      <c r="CY48" s="41">
        <v>1</v>
      </c>
      <c r="CZ48" s="41">
        <v>1</v>
      </c>
      <c r="DA48" s="41">
        <v>1</v>
      </c>
      <c r="DB48" s="41">
        <v>1</v>
      </c>
      <c r="DC48" s="41">
        <v>1</v>
      </c>
      <c r="DD48" s="41">
        <v>1</v>
      </c>
      <c r="DE48" s="41">
        <v>1</v>
      </c>
      <c r="DF48" s="41">
        <v>1</v>
      </c>
      <c r="DG48" s="41">
        <v>1</v>
      </c>
      <c r="DH48" s="41">
        <v>1</v>
      </c>
      <c r="DI48" s="41">
        <v>1</v>
      </c>
      <c r="DJ48" s="41">
        <v>1</v>
      </c>
      <c r="DK48" s="41">
        <v>1</v>
      </c>
      <c r="DL48" s="41">
        <v>1</v>
      </c>
      <c r="DM48" s="41">
        <v>1</v>
      </c>
      <c r="DN48" s="41">
        <v>1</v>
      </c>
      <c r="DP48" s="145">
        <f t="shared" si="178"/>
        <v>1</v>
      </c>
      <c r="DQ48" s="145">
        <v>4.96</v>
      </c>
      <c r="DR48" s="145">
        <v>4.63</v>
      </c>
      <c r="DS48" s="145">
        <v>4.63</v>
      </c>
      <c r="DT48" s="145">
        <v>4.6500000000000004</v>
      </c>
      <c r="DU48" s="145">
        <v>4.7300000000000004</v>
      </c>
      <c r="DV48" s="41">
        <v>4.71</v>
      </c>
      <c r="DW48" s="41">
        <v>1</v>
      </c>
      <c r="DX48" s="41">
        <v>1</v>
      </c>
      <c r="DY48" s="41">
        <v>1</v>
      </c>
      <c r="DZ48" s="41">
        <v>1</v>
      </c>
      <c r="EA48" s="41">
        <v>1</v>
      </c>
      <c r="EB48" s="41">
        <v>1</v>
      </c>
      <c r="EC48" s="41">
        <v>1</v>
      </c>
      <c r="ED48" s="41">
        <v>1</v>
      </c>
      <c r="EE48" s="41">
        <v>1</v>
      </c>
      <c r="EF48" s="41">
        <v>1</v>
      </c>
      <c r="EG48" s="41">
        <v>1</v>
      </c>
      <c r="EH48" s="41">
        <v>1</v>
      </c>
      <c r="EI48" s="41">
        <v>1</v>
      </c>
      <c r="EJ48" s="41">
        <v>1</v>
      </c>
      <c r="EK48" s="41">
        <v>1</v>
      </c>
      <c r="EL48" s="41">
        <v>1</v>
      </c>
      <c r="EM48" s="41">
        <v>1</v>
      </c>
      <c r="EN48" s="41">
        <v>1</v>
      </c>
      <c r="EO48" s="41">
        <v>1</v>
      </c>
      <c r="EP48" s="41">
        <v>1</v>
      </c>
      <c r="EQ48" s="41">
        <v>1</v>
      </c>
      <c r="ER48" s="41">
        <v>1</v>
      </c>
      <c r="ES48" s="41">
        <v>1</v>
      </c>
      <c r="ET48" s="41">
        <v>1</v>
      </c>
      <c r="EV48" s="145">
        <f t="shared" si="179"/>
        <v>1</v>
      </c>
      <c r="EW48" s="145">
        <v>5.0599999999999996</v>
      </c>
      <c r="EX48" s="145">
        <v>4.09</v>
      </c>
      <c r="EY48" s="145">
        <v>4.09</v>
      </c>
      <c r="EZ48" s="145">
        <v>4.1100000000000003</v>
      </c>
      <c r="FA48" s="145">
        <v>4.2</v>
      </c>
      <c r="FB48" s="41">
        <v>4.18</v>
      </c>
      <c r="FC48" s="41">
        <v>1</v>
      </c>
      <c r="FD48" s="41">
        <v>1</v>
      </c>
      <c r="FE48" s="41">
        <v>1</v>
      </c>
      <c r="FF48" s="41">
        <v>1</v>
      </c>
      <c r="FG48" s="41">
        <v>1</v>
      </c>
      <c r="FH48" s="41">
        <v>1</v>
      </c>
      <c r="FI48" s="41">
        <v>1</v>
      </c>
      <c r="FJ48" s="41">
        <v>1</v>
      </c>
      <c r="FK48" s="41">
        <v>1</v>
      </c>
      <c r="FL48" s="41">
        <v>1</v>
      </c>
      <c r="FM48" s="41">
        <v>1</v>
      </c>
      <c r="FN48" s="41">
        <v>1</v>
      </c>
      <c r="FO48" s="41">
        <v>1</v>
      </c>
      <c r="FP48" s="41">
        <v>1</v>
      </c>
      <c r="FQ48" s="41">
        <v>1</v>
      </c>
      <c r="FR48" s="41">
        <v>1</v>
      </c>
      <c r="FS48" s="41">
        <v>1</v>
      </c>
      <c r="FT48" s="41">
        <v>1</v>
      </c>
      <c r="FU48" s="41">
        <v>1</v>
      </c>
      <c r="FV48" s="41">
        <v>1</v>
      </c>
      <c r="FW48" s="41">
        <v>1</v>
      </c>
      <c r="FX48" s="41">
        <v>1</v>
      </c>
      <c r="FY48" s="41">
        <v>1</v>
      </c>
      <c r="FZ48" s="41">
        <v>1</v>
      </c>
      <c r="GB48" s="145">
        <f t="shared" si="180"/>
        <v>1</v>
      </c>
      <c r="GC48" s="145">
        <v>12.21</v>
      </c>
      <c r="GD48" s="145">
        <v>12.24</v>
      </c>
      <c r="GE48" s="145">
        <v>12.24</v>
      </c>
      <c r="GF48" s="145">
        <v>12.29</v>
      </c>
      <c r="GG48" s="145">
        <v>12.55</v>
      </c>
      <c r="GH48" s="41">
        <v>12.5</v>
      </c>
      <c r="GI48" s="41">
        <v>1</v>
      </c>
      <c r="GJ48" s="41">
        <v>1</v>
      </c>
      <c r="GK48" s="41">
        <v>1</v>
      </c>
      <c r="GL48" s="41">
        <v>1</v>
      </c>
      <c r="GM48" s="41">
        <v>1</v>
      </c>
      <c r="GN48" s="41">
        <v>1</v>
      </c>
      <c r="GO48" s="41">
        <v>1</v>
      </c>
      <c r="GP48" s="41">
        <v>1</v>
      </c>
      <c r="GQ48" s="41">
        <v>1</v>
      </c>
      <c r="GR48" s="41">
        <v>1</v>
      </c>
      <c r="GS48" s="41">
        <v>1</v>
      </c>
      <c r="GT48" s="41">
        <v>1</v>
      </c>
      <c r="GU48" s="41">
        <v>1</v>
      </c>
      <c r="GV48" s="41">
        <v>1</v>
      </c>
      <c r="GW48" s="41">
        <v>1</v>
      </c>
      <c r="GX48" s="41">
        <v>1</v>
      </c>
      <c r="GY48" s="41">
        <v>1</v>
      </c>
      <c r="GZ48" s="41">
        <v>1</v>
      </c>
      <c r="HA48" s="41">
        <v>1</v>
      </c>
      <c r="HB48" s="41">
        <v>1</v>
      </c>
      <c r="HC48" s="41">
        <v>1</v>
      </c>
      <c r="HD48" s="41">
        <v>1</v>
      </c>
      <c r="HE48" s="41">
        <v>1</v>
      </c>
      <c r="HF48" s="41">
        <v>1</v>
      </c>
      <c r="HH48" s="373">
        <v>1</v>
      </c>
      <c r="HI48" s="218">
        <v>1.0900000000000001</v>
      </c>
      <c r="HJ48" s="229">
        <v>1.0900000000000001</v>
      </c>
      <c r="HK48" s="229">
        <v>1.0900000000000001</v>
      </c>
      <c r="HM48" s="373">
        <f t="shared" si="173"/>
        <v>1</v>
      </c>
      <c r="HN48" s="145">
        <v>1</v>
      </c>
    </row>
    <row r="49" spans="1:228" ht="12.75" hidden="1" customHeight="1" x14ac:dyDescent="0.2">
      <c r="A49" s="373">
        <f t="shared" si="172"/>
        <v>45</v>
      </c>
      <c r="B49" s="149" t="s">
        <v>136</v>
      </c>
      <c r="C49" s="150">
        <v>1.054</v>
      </c>
      <c r="D49" s="150">
        <v>1.1160000000000001</v>
      </c>
      <c r="E49" s="150">
        <v>0.84399999999999997</v>
      </c>
      <c r="F49" s="150">
        <v>1.0580000000000001</v>
      </c>
      <c r="G49" s="150"/>
      <c r="H49" s="226">
        <f ca="1">OFFSET($HH49,0,'Расчет стоимости'!$M$10,1,1)</f>
        <v>1</v>
      </c>
      <c r="I49" s="150">
        <v>1</v>
      </c>
      <c r="J49" s="150">
        <v>1</v>
      </c>
      <c r="K49" s="149">
        <v>1</v>
      </c>
      <c r="L49" s="149">
        <v>1</v>
      </c>
      <c r="M49" s="372">
        <v>3.2000000000000001E-2</v>
      </c>
      <c r="N49" s="145">
        <v>2.8999999999999998E-2</v>
      </c>
      <c r="O49" s="145">
        <v>1.3000000000000001E-2</v>
      </c>
      <c r="P49" s="145">
        <v>0.04</v>
      </c>
      <c r="Q49" s="145">
        <v>3.0000000000000001E-3</v>
      </c>
      <c r="R49" s="152" t="s">
        <v>236</v>
      </c>
      <c r="T49" s="225">
        <f t="shared" si="181"/>
        <v>1</v>
      </c>
      <c r="U49" s="225">
        <f t="shared" si="181"/>
        <v>1</v>
      </c>
      <c r="V49" s="225">
        <f t="shared" si="181"/>
        <v>1</v>
      </c>
      <c r="W49" s="225">
        <f t="shared" si="181"/>
        <v>1</v>
      </c>
      <c r="X49" s="145">
        <f t="shared" si="175"/>
        <v>1</v>
      </c>
      <c r="Y49" s="145">
        <v>5.86</v>
      </c>
      <c r="Z49" s="145">
        <v>5.99</v>
      </c>
      <c r="AA49" s="145">
        <v>5.99</v>
      </c>
      <c r="AB49" s="145">
        <v>6.01</v>
      </c>
      <c r="AC49" s="145">
        <v>6.14</v>
      </c>
      <c r="AD49" s="41">
        <v>6.12</v>
      </c>
      <c r="AE49" s="41">
        <v>1</v>
      </c>
      <c r="AF49" s="41">
        <v>1</v>
      </c>
      <c r="AG49" s="41">
        <v>1</v>
      </c>
      <c r="AH49" s="41">
        <v>1</v>
      </c>
      <c r="AI49" s="41">
        <v>1</v>
      </c>
      <c r="AJ49" s="41">
        <v>1</v>
      </c>
      <c r="AK49" s="41">
        <v>1</v>
      </c>
      <c r="AL49" s="41">
        <v>1</v>
      </c>
      <c r="AM49" s="41">
        <v>1</v>
      </c>
      <c r="AN49" s="41">
        <v>1</v>
      </c>
      <c r="AO49" s="41">
        <v>1</v>
      </c>
      <c r="AP49" s="41">
        <v>1</v>
      </c>
      <c r="AQ49" s="41">
        <v>1</v>
      </c>
      <c r="AR49" s="41">
        <v>1</v>
      </c>
      <c r="AS49" s="41">
        <v>1</v>
      </c>
      <c r="AT49" s="41">
        <v>1</v>
      </c>
      <c r="AU49" s="41">
        <v>1</v>
      </c>
      <c r="AV49" s="41">
        <v>1</v>
      </c>
      <c r="AW49" s="41">
        <v>1</v>
      </c>
      <c r="AX49" s="41">
        <v>1</v>
      </c>
      <c r="AY49" s="41">
        <v>1</v>
      </c>
      <c r="AZ49" s="41">
        <v>1</v>
      </c>
      <c r="BA49" s="41">
        <v>1</v>
      </c>
      <c r="BB49" s="41">
        <v>1</v>
      </c>
      <c r="BD49" s="145">
        <f t="shared" si="176"/>
        <v>1</v>
      </c>
      <c r="BE49" s="145">
        <v>4.25</v>
      </c>
      <c r="BF49" s="145">
        <v>4.2</v>
      </c>
      <c r="BG49" s="145">
        <v>4.2</v>
      </c>
      <c r="BH49" s="145">
        <v>4.22</v>
      </c>
      <c r="BI49" s="145">
        <v>4.2699999999999996</v>
      </c>
      <c r="BJ49" s="41">
        <v>4.25</v>
      </c>
      <c r="BK49" s="41">
        <v>1</v>
      </c>
      <c r="BL49" s="41">
        <v>1</v>
      </c>
      <c r="BM49" s="41">
        <v>1</v>
      </c>
      <c r="BN49" s="41">
        <v>1</v>
      </c>
      <c r="BO49" s="41">
        <v>1</v>
      </c>
      <c r="BP49" s="41">
        <v>1</v>
      </c>
      <c r="BQ49" s="41">
        <v>1</v>
      </c>
      <c r="BR49" s="41">
        <v>1</v>
      </c>
      <c r="BS49" s="41">
        <v>1</v>
      </c>
      <c r="BT49" s="41">
        <v>1</v>
      </c>
      <c r="BU49" s="41">
        <v>1</v>
      </c>
      <c r="BV49" s="41">
        <v>1</v>
      </c>
      <c r="BW49" s="41">
        <v>1</v>
      </c>
      <c r="BX49" s="41">
        <v>1</v>
      </c>
      <c r="BY49" s="41">
        <v>1</v>
      </c>
      <c r="BZ49" s="41">
        <v>1</v>
      </c>
      <c r="CA49" s="41">
        <v>1</v>
      </c>
      <c r="CB49" s="41">
        <v>1</v>
      </c>
      <c r="CC49" s="41">
        <v>1</v>
      </c>
      <c r="CD49" s="41">
        <v>1</v>
      </c>
      <c r="CE49" s="41">
        <v>1</v>
      </c>
      <c r="CF49" s="41">
        <v>1</v>
      </c>
      <c r="CG49" s="41">
        <v>1</v>
      </c>
      <c r="CH49" s="41">
        <v>1</v>
      </c>
      <c r="CJ49" s="145">
        <f t="shared" si="177"/>
        <v>1</v>
      </c>
      <c r="CK49" s="145">
        <v>3.87</v>
      </c>
      <c r="CL49" s="145">
        <v>3.83</v>
      </c>
      <c r="CM49" s="145">
        <v>3.83</v>
      </c>
      <c r="CN49" s="145">
        <v>3.85</v>
      </c>
      <c r="CO49" s="145">
        <v>3.87</v>
      </c>
      <c r="CP49" s="41">
        <v>3.85</v>
      </c>
      <c r="CQ49" s="41">
        <v>1</v>
      </c>
      <c r="CR49" s="41">
        <v>1</v>
      </c>
      <c r="CS49" s="41">
        <v>1</v>
      </c>
      <c r="CT49" s="41">
        <v>1</v>
      </c>
      <c r="CU49" s="41">
        <v>1</v>
      </c>
      <c r="CV49" s="41">
        <v>1</v>
      </c>
      <c r="CW49" s="41">
        <v>1</v>
      </c>
      <c r="CX49" s="41">
        <v>1</v>
      </c>
      <c r="CY49" s="41">
        <v>1</v>
      </c>
      <c r="CZ49" s="41">
        <v>1</v>
      </c>
      <c r="DA49" s="41">
        <v>1</v>
      </c>
      <c r="DB49" s="41">
        <v>1</v>
      </c>
      <c r="DC49" s="41">
        <v>1</v>
      </c>
      <c r="DD49" s="41">
        <v>1</v>
      </c>
      <c r="DE49" s="41">
        <v>1</v>
      </c>
      <c r="DF49" s="41">
        <v>1</v>
      </c>
      <c r="DG49" s="41">
        <v>1</v>
      </c>
      <c r="DH49" s="41">
        <v>1</v>
      </c>
      <c r="DI49" s="41">
        <v>1</v>
      </c>
      <c r="DJ49" s="41">
        <v>1</v>
      </c>
      <c r="DK49" s="41">
        <v>1</v>
      </c>
      <c r="DL49" s="41">
        <v>1</v>
      </c>
      <c r="DM49" s="41">
        <v>1</v>
      </c>
      <c r="DN49" s="41">
        <v>1</v>
      </c>
      <c r="DP49" s="145">
        <f t="shared" si="178"/>
        <v>1</v>
      </c>
      <c r="DQ49" s="145">
        <v>4.78</v>
      </c>
      <c r="DR49" s="145">
        <v>4.8499999999999996</v>
      </c>
      <c r="DS49" s="145">
        <v>4.8499999999999996</v>
      </c>
      <c r="DT49" s="145">
        <v>4.87</v>
      </c>
      <c r="DU49" s="145">
        <v>4.92</v>
      </c>
      <c r="DV49" s="41">
        <v>4.9000000000000004</v>
      </c>
      <c r="DW49" s="41">
        <v>1</v>
      </c>
      <c r="DX49" s="41">
        <v>1</v>
      </c>
      <c r="DY49" s="41">
        <v>1</v>
      </c>
      <c r="DZ49" s="41">
        <v>1</v>
      </c>
      <c r="EA49" s="41">
        <v>1</v>
      </c>
      <c r="EB49" s="41">
        <v>1</v>
      </c>
      <c r="EC49" s="41">
        <v>1</v>
      </c>
      <c r="ED49" s="41">
        <v>1</v>
      </c>
      <c r="EE49" s="41">
        <v>1</v>
      </c>
      <c r="EF49" s="41">
        <v>1</v>
      </c>
      <c r="EG49" s="41">
        <v>1</v>
      </c>
      <c r="EH49" s="41">
        <v>1</v>
      </c>
      <c r="EI49" s="41">
        <v>1</v>
      </c>
      <c r="EJ49" s="41">
        <v>1</v>
      </c>
      <c r="EK49" s="41">
        <v>1</v>
      </c>
      <c r="EL49" s="41">
        <v>1</v>
      </c>
      <c r="EM49" s="41">
        <v>1</v>
      </c>
      <c r="EN49" s="41">
        <v>1</v>
      </c>
      <c r="EO49" s="41">
        <v>1</v>
      </c>
      <c r="EP49" s="41">
        <v>1</v>
      </c>
      <c r="EQ49" s="41">
        <v>1</v>
      </c>
      <c r="ER49" s="41">
        <v>1</v>
      </c>
      <c r="ES49" s="41">
        <v>1</v>
      </c>
      <c r="ET49" s="41">
        <v>1</v>
      </c>
      <c r="EV49" s="145">
        <f t="shared" si="179"/>
        <v>1</v>
      </c>
      <c r="EW49" s="145">
        <v>3.87</v>
      </c>
      <c r="EX49" s="145">
        <v>3.87</v>
      </c>
      <c r="EY49" s="145">
        <v>3.87</v>
      </c>
      <c r="EZ49" s="145">
        <v>3.89</v>
      </c>
      <c r="FA49" s="145">
        <v>3.97</v>
      </c>
      <c r="FB49" s="41">
        <v>3.95</v>
      </c>
      <c r="FC49" s="41">
        <v>1</v>
      </c>
      <c r="FD49" s="41">
        <v>1</v>
      </c>
      <c r="FE49" s="41">
        <v>1</v>
      </c>
      <c r="FF49" s="41">
        <v>1</v>
      </c>
      <c r="FG49" s="41">
        <v>1</v>
      </c>
      <c r="FH49" s="41">
        <v>1</v>
      </c>
      <c r="FI49" s="41">
        <v>1</v>
      </c>
      <c r="FJ49" s="41">
        <v>1</v>
      </c>
      <c r="FK49" s="41">
        <v>1</v>
      </c>
      <c r="FL49" s="41">
        <v>1</v>
      </c>
      <c r="FM49" s="41">
        <v>1</v>
      </c>
      <c r="FN49" s="41">
        <v>1</v>
      </c>
      <c r="FO49" s="41">
        <v>1</v>
      </c>
      <c r="FP49" s="41">
        <v>1</v>
      </c>
      <c r="FQ49" s="41">
        <v>1</v>
      </c>
      <c r="FR49" s="41">
        <v>1</v>
      </c>
      <c r="FS49" s="41">
        <v>1</v>
      </c>
      <c r="FT49" s="41">
        <v>1</v>
      </c>
      <c r="FU49" s="41">
        <v>1</v>
      </c>
      <c r="FV49" s="41">
        <v>1</v>
      </c>
      <c r="FW49" s="41">
        <v>1</v>
      </c>
      <c r="FX49" s="41">
        <v>1</v>
      </c>
      <c r="FY49" s="41">
        <v>1</v>
      </c>
      <c r="FZ49" s="41">
        <v>1</v>
      </c>
      <c r="GB49" s="145">
        <f t="shared" si="180"/>
        <v>1</v>
      </c>
      <c r="GC49" s="145">
        <v>9.76</v>
      </c>
      <c r="GD49" s="145">
        <v>10</v>
      </c>
      <c r="GE49" s="145">
        <v>10</v>
      </c>
      <c r="GF49" s="145">
        <v>10.039999999999999</v>
      </c>
      <c r="GG49" s="145">
        <v>10.25</v>
      </c>
      <c r="GH49" s="41">
        <v>10.210000000000001</v>
      </c>
      <c r="GI49" s="41">
        <v>1</v>
      </c>
      <c r="GJ49" s="41">
        <v>1</v>
      </c>
      <c r="GK49" s="41">
        <v>1</v>
      </c>
      <c r="GL49" s="41">
        <v>1</v>
      </c>
      <c r="GM49" s="41">
        <v>1</v>
      </c>
      <c r="GN49" s="41">
        <v>1</v>
      </c>
      <c r="GO49" s="41">
        <v>1</v>
      </c>
      <c r="GP49" s="41">
        <v>1</v>
      </c>
      <c r="GQ49" s="41">
        <v>1</v>
      </c>
      <c r="GR49" s="41">
        <v>1</v>
      </c>
      <c r="GS49" s="41">
        <v>1</v>
      </c>
      <c r="GT49" s="41">
        <v>1</v>
      </c>
      <c r="GU49" s="41">
        <v>1</v>
      </c>
      <c r="GV49" s="41">
        <v>1</v>
      </c>
      <c r="GW49" s="41">
        <v>1</v>
      </c>
      <c r="GX49" s="41">
        <v>1</v>
      </c>
      <c r="GY49" s="41">
        <v>1</v>
      </c>
      <c r="GZ49" s="41">
        <v>1</v>
      </c>
      <c r="HA49" s="41">
        <v>1</v>
      </c>
      <c r="HB49" s="41">
        <v>1</v>
      </c>
      <c r="HC49" s="41">
        <v>1</v>
      </c>
      <c r="HD49" s="41">
        <v>1</v>
      </c>
      <c r="HE49" s="41">
        <v>1</v>
      </c>
      <c r="HF49" s="41">
        <v>1</v>
      </c>
      <c r="HH49" s="373">
        <v>1</v>
      </c>
      <c r="HI49" s="218">
        <v>1</v>
      </c>
      <c r="HJ49" s="229">
        <v>1</v>
      </c>
      <c r="HK49" s="229">
        <v>1</v>
      </c>
      <c r="HM49" s="373">
        <f t="shared" si="173"/>
        <v>1</v>
      </c>
      <c r="HN49" s="145">
        <v>1</v>
      </c>
    </row>
    <row r="50" spans="1:228" ht="12.75" hidden="1" customHeight="1" x14ac:dyDescent="0.2">
      <c r="A50" s="373">
        <f t="shared" si="172"/>
        <v>46</v>
      </c>
      <c r="B50" s="149" t="s">
        <v>137</v>
      </c>
      <c r="C50" s="150">
        <v>1.018</v>
      </c>
      <c r="D50" s="150">
        <v>0.98799999999999999</v>
      </c>
      <c r="E50" s="150">
        <v>0.93700000000000006</v>
      </c>
      <c r="F50" s="150">
        <v>1.677</v>
      </c>
      <c r="G50" s="150"/>
      <c r="H50" s="226">
        <f ca="1">OFFSET($HH50,0,'Расчет стоимости'!$M$10,1,1)</f>
        <v>1</v>
      </c>
      <c r="I50" s="150">
        <v>1</v>
      </c>
      <c r="J50" s="150">
        <v>1</v>
      </c>
      <c r="K50" s="149">
        <v>1</v>
      </c>
      <c r="L50" s="149">
        <v>1</v>
      </c>
      <c r="M50" s="372">
        <v>3.2000000000000001E-2</v>
      </c>
      <c r="N50" s="145">
        <v>2.8999999999999998E-2</v>
      </c>
      <c r="O50" s="145">
        <v>1.3000000000000001E-2</v>
      </c>
      <c r="P50" s="145">
        <v>0.04</v>
      </c>
      <c r="Q50" s="145">
        <v>3.0000000000000001E-3</v>
      </c>
      <c r="R50" s="152" t="s">
        <v>236</v>
      </c>
      <c r="T50" s="225">
        <f t="shared" si="181"/>
        <v>1</v>
      </c>
      <c r="U50" s="225">
        <f t="shared" si="181"/>
        <v>1</v>
      </c>
      <c r="V50" s="225">
        <f t="shared" si="181"/>
        <v>1</v>
      </c>
      <c r="W50" s="225">
        <f t="shared" si="181"/>
        <v>1</v>
      </c>
      <c r="X50" s="145">
        <f t="shared" si="175"/>
        <v>1</v>
      </c>
      <c r="Y50" s="145">
        <v>5.35</v>
      </c>
      <c r="Z50" s="145">
        <v>5.48</v>
      </c>
      <c r="AA50" s="145">
        <v>5.48</v>
      </c>
      <c r="AB50" s="145">
        <v>5.5</v>
      </c>
      <c r="AC50" s="145">
        <v>5.62</v>
      </c>
      <c r="AD50" s="41">
        <v>5.6</v>
      </c>
      <c r="AE50" s="41">
        <v>1</v>
      </c>
      <c r="AF50" s="41">
        <v>1</v>
      </c>
      <c r="AG50" s="41">
        <v>1</v>
      </c>
      <c r="AH50" s="41">
        <v>1</v>
      </c>
      <c r="AI50" s="41">
        <v>1</v>
      </c>
      <c r="AJ50" s="41">
        <v>1</v>
      </c>
      <c r="AK50" s="41">
        <v>1</v>
      </c>
      <c r="AL50" s="41">
        <v>1</v>
      </c>
      <c r="AM50" s="41">
        <v>1</v>
      </c>
      <c r="AN50" s="41">
        <v>1</v>
      </c>
      <c r="AO50" s="41">
        <v>1</v>
      </c>
      <c r="AP50" s="41">
        <v>1</v>
      </c>
      <c r="AQ50" s="41">
        <v>1</v>
      </c>
      <c r="AR50" s="41">
        <v>1</v>
      </c>
      <c r="AS50" s="41">
        <v>1</v>
      </c>
      <c r="AT50" s="41">
        <v>1</v>
      </c>
      <c r="AU50" s="41">
        <v>1</v>
      </c>
      <c r="AV50" s="41">
        <v>1</v>
      </c>
      <c r="AW50" s="41">
        <v>1</v>
      </c>
      <c r="AX50" s="41">
        <v>1</v>
      </c>
      <c r="AY50" s="41">
        <v>1</v>
      </c>
      <c r="AZ50" s="41">
        <v>1</v>
      </c>
      <c r="BA50" s="41">
        <v>1</v>
      </c>
      <c r="BB50" s="41">
        <v>1</v>
      </c>
      <c r="BD50" s="145">
        <f t="shared" si="176"/>
        <v>1</v>
      </c>
      <c r="BE50" s="145">
        <v>3.94</v>
      </c>
      <c r="BF50" s="145">
        <v>3.89</v>
      </c>
      <c r="BG50" s="145">
        <v>3.89</v>
      </c>
      <c r="BH50" s="145">
        <v>3.91</v>
      </c>
      <c r="BI50" s="145">
        <v>3.99</v>
      </c>
      <c r="BJ50" s="41">
        <v>3.97</v>
      </c>
      <c r="BK50" s="41">
        <v>1</v>
      </c>
      <c r="BL50" s="41">
        <v>1</v>
      </c>
      <c r="BM50" s="41">
        <v>1</v>
      </c>
      <c r="BN50" s="41">
        <v>1</v>
      </c>
      <c r="BO50" s="41">
        <v>1</v>
      </c>
      <c r="BP50" s="41">
        <v>1</v>
      </c>
      <c r="BQ50" s="41">
        <v>1</v>
      </c>
      <c r="BR50" s="41">
        <v>1</v>
      </c>
      <c r="BS50" s="41">
        <v>1</v>
      </c>
      <c r="BT50" s="41">
        <v>1</v>
      </c>
      <c r="BU50" s="41">
        <v>1</v>
      </c>
      <c r="BV50" s="41">
        <v>1</v>
      </c>
      <c r="BW50" s="41">
        <v>1</v>
      </c>
      <c r="BX50" s="41">
        <v>1</v>
      </c>
      <c r="BY50" s="41">
        <v>1</v>
      </c>
      <c r="BZ50" s="41">
        <v>1</v>
      </c>
      <c r="CA50" s="41">
        <v>1</v>
      </c>
      <c r="CB50" s="41">
        <v>1</v>
      </c>
      <c r="CC50" s="41">
        <v>1</v>
      </c>
      <c r="CD50" s="41">
        <v>1</v>
      </c>
      <c r="CE50" s="41">
        <v>1</v>
      </c>
      <c r="CF50" s="41">
        <v>1</v>
      </c>
      <c r="CG50" s="41">
        <v>1</v>
      </c>
      <c r="CH50" s="41">
        <v>1</v>
      </c>
      <c r="CJ50" s="145">
        <f t="shared" si="177"/>
        <v>1</v>
      </c>
      <c r="CK50" s="145">
        <v>4.2699999999999996</v>
      </c>
      <c r="CL50" s="145">
        <v>4.21</v>
      </c>
      <c r="CM50" s="145">
        <v>4.21</v>
      </c>
      <c r="CN50" s="145">
        <v>4.2300000000000004</v>
      </c>
      <c r="CO50" s="145">
        <v>4.32</v>
      </c>
      <c r="CP50" s="41">
        <v>4.3</v>
      </c>
      <c r="CQ50" s="41">
        <v>1</v>
      </c>
      <c r="CR50" s="41">
        <v>1</v>
      </c>
      <c r="CS50" s="41">
        <v>1</v>
      </c>
      <c r="CT50" s="41">
        <v>1</v>
      </c>
      <c r="CU50" s="41">
        <v>1</v>
      </c>
      <c r="CV50" s="41">
        <v>1</v>
      </c>
      <c r="CW50" s="41">
        <v>1</v>
      </c>
      <c r="CX50" s="41">
        <v>1</v>
      </c>
      <c r="CY50" s="41">
        <v>1</v>
      </c>
      <c r="CZ50" s="41">
        <v>1</v>
      </c>
      <c r="DA50" s="41">
        <v>1</v>
      </c>
      <c r="DB50" s="41">
        <v>1</v>
      </c>
      <c r="DC50" s="41">
        <v>1</v>
      </c>
      <c r="DD50" s="41">
        <v>1</v>
      </c>
      <c r="DE50" s="41">
        <v>1</v>
      </c>
      <c r="DF50" s="41">
        <v>1</v>
      </c>
      <c r="DG50" s="41">
        <v>1</v>
      </c>
      <c r="DH50" s="41">
        <v>1</v>
      </c>
      <c r="DI50" s="41">
        <v>1</v>
      </c>
      <c r="DJ50" s="41">
        <v>1</v>
      </c>
      <c r="DK50" s="41">
        <v>1</v>
      </c>
      <c r="DL50" s="41">
        <v>1</v>
      </c>
      <c r="DM50" s="41">
        <v>1</v>
      </c>
      <c r="DN50" s="41">
        <v>1</v>
      </c>
      <c r="DP50" s="145">
        <f t="shared" si="178"/>
        <v>1</v>
      </c>
      <c r="DQ50" s="145">
        <v>4.25</v>
      </c>
      <c r="DR50" s="145">
        <v>4.24</v>
      </c>
      <c r="DS50" s="145">
        <v>4.24</v>
      </c>
      <c r="DT50" s="145">
        <v>4.26</v>
      </c>
      <c r="DU50" s="145">
        <v>4.3499999999999996</v>
      </c>
      <c r="DV50" s="41">
        <v>4.33</v>
      </c>
      <c r="DW50" s="41">
        <v>1</v>
      </c>
      <c r="DX50" s="41">
        <v>1</v>
      </c>
      <c r="DY50" s="41">
        <v>1</v>
      </c>
      <c r="DZ50" s="41">
        <v>1</v>
      </c>
      <c r="EA50" s="41">
        <v>1</v>
      </c>
      <c r="EB50" s="41">
        <v>1</v>
      </c>
      <c r="EC50" s="41">
        <v>1</v>
      </c>
      <c r="ED50" s="41">
        <v>1</v>
      </c>
      <c r="EE50" s="41">
        <v>1</v>
      </c>
      <c r="EF50" s="41">
        <v>1</v>
      </c>
      <c r="EG50" s="41">
        <v>1</v>
      </c>
      <c r="EH50" s="41">
        <v>1</v>
      </c>
      <c r="EI50" s="41">
        <v>1</v>
      </c>
      <c r="EJ50" s="41">
        <v>1</v>
      </c>
      <c r="EK50" s="41">
        <v>1</v>
      </c>
      <c r="EL50" s="41">
        <v>1</v>
      </c>
      <c r="EM50" s="41">
        <v>1</v>
      </c>
      <c r="EN50" s="41">
        <v>1</v>
      </c>
      <c r="EO50" s="41">
        <v>1</v>
      </c>
      <c r="EP50" s="41">
        <v>1</v>
      </c>
      <c r="EQ50" s="41">
        <v>1</v>
      </c>
      <c r="ER50" s="41">
        <v>1</v>
      </c>
      <c r="ES50" s="41">
        <v>1</v>
      </c>
      <c r="ET50" s="41">
        <v>1</v>
      </c>
      <c r="EV50" s="145">
        <f t="shared" si="179"/>
        <v>1</v>
      </c>
      <c r="EW50" s="145">
        <v>4.71</v>
      </c>
      <c r="EX50" s="145">
        <v>4.68</v>
      </c>
      <c r="EY50" s="145">
        <v>4.68</v>
      </c>
      <c r="EZ50" s="145">
        <v>4.7</v>
      </c>
      <c r="FA50" s="145">
        <v>4.8</v>
      </c>
      <c r="FB50" s="41">
        <v>4.78</v>
      </c>
      <c r="FC50" s="41">
        <v>1</v>
      </c>
      <c r="FD50" s="41">
        <v>1</v>
      </c>
      <c r="FE50" s="41">
        <v>1</v>
      </c>
      <c r="FF50" s="41">
        <v>1</v>
      </c>
      <c r="FG50" s="41">
        <v>1</v>
      </c>
      <c r="FH50" s="41">
        <v>1</v>
      </c>
      <c r="FI50" s="41">
        <v>1</v>
      </c>
      <c r="FJ50" s="41">
        <v>1</v>
      </c>
      <c r="FK50" s="41">
        <v>1</v>
      </c>
      <c r="FL50" s="41">
        <v>1</v>
      </c>
      <c r="FM50" s="41">
        <v>1</v>
      </c>
      <c r="FN50" s="41">
        <v>1</v>
      </c>
      <c r="FO50" s="41">
        <v>1</v>
      </c>
      <c r="FP50" s="41">
        <v>1</v>
      </c>
      <c r="FQ50" s="41">
        <v>1</v>
      </c>
      <c r="FR50" s="41">
        <v>1</v>
      </c>
      <c r="FS50" s="41">
        <v>1</v>
      </c>
      <c r="FT50" s="41">
        <v>1</v>
      </c>
      <c r="FU50" s="41">
        <v>1</v>
      </c>
      <c r="FV50" s="41">
        <v>1</v>
      </c>
      <c r="FW50" s="41">
        <v>1</v>
      </c>
      <c r="FX50" s="41">
        <v>1</v>
      </c>
      <c r="FY50" s="41">
        <v>1</v>
      </c>
      <c r="FZ50" s="41">
        <v>1</v>
      </c>
      <c r="GB50" s="145">
        <f t="shared" si="180"/>
        <v>1</v>
      </c>
      <c r="GC50" s="145">
        <v>9.39</v>
      </c>
      <c r="GD50" s="145">
        <v>9.4600000000000009</v>
      </c>
      <c r="GE50" s="145">
        <v>9.4600000000000009</v>
      </c>
      <c r="GF50" s="145">
        <v>9.5</v>
      </c>
      <c r="GG50" s="145">
        <v>9.6999999999999993</v>
      </c>
      <c r="GH50" s="41">
        <v>9.66</v>
      </c>
      <c r="GI50" s="41">
        <v>1</v>
      </c>
      <c r="GJ50" s="41">
        <v>1</v>
      </c>
      <c r="GK50" s="41">
        <v>1</v>
      </c>
      <c r="GL50" s="41">
        <v>1</v>
      </c>
      <c r="GM50" s="41">
        <v>1</v>
      </c>
      <c r="GN50" s="41">
        <v>1</v>
      </c>
      <c r="GO50" s="41">
        <v>1</v>
      </c>
      <c r="GP50" s="41">
        <v>1</v>
      </c>
      <c r="GQ50" s="41">
        <v>1</v>
      </c>
      <c r="GR50" s="41">
        <v>1</v>
      </c>
      <c r="GS50" s="41">
        <v>1</v>
      </c>
      <c r="GT50" s="41">
        <v>1</v>
      </c>
      <c r="GU50" s="41">
        <v>1</v>
      </c>
      <c r="GV50" s="41">
        <v>1</v>
      </c>
      <c r="GW50" s="41">
        <v>1</v>
      </c>
      <c r="GX50" s="41">
        <v>1</v>
      </c>
      <c r="GY50" s="41">
        <v>1</v>
      </c>
      <c r="GZ50" s="41">
        <v>1</v>
      </c>
      <c r="HA50" s="41">
        <v>1</v>
      </c>
      <c r="HB50" s="41">
        <v>1</v>
      </c>
      <c r="HC50" s="41">
        <v>1</v>
      </c>
      <c r="HD50" s="41">
        <v>1</v>
      </c>
      <c r="HE50" s="41">
        <v>1</v>
      </c>
      <c r="HF50" s="41">
        <v>1</v>
      </c>
      <c r="HH50" s="373">
        <v>1</v>
      </c>
      <c r="HI50" s="218">
        <v>1</v>
      </c>
      <c r="HJ50" s="229">
        <v>1</v>
      </c>
      <c r="HK50" s="229">
        <v>1</v>
      </c>
      <c r="HM50" s="373">
        <f t="shared" si="173"/>
        <v>1</v>
      </c>
      <c r="HN50" s="145">
        <v>1</v>
      </c>
    </row>
    <row r="51" spans="1:228" ht="12.75" hidden="1" customHeight="1" x14ac:dyDescent="0.2">
      <c r="A51" s="373">
        <f t="shared" si="172"/>
        <v>47</v>
      </c>
      <c r="B51" s="149" t="s">
        <v>145</v>
      </c>
      <c r="C51" s="150">
        <v>1.0209999999999999</v>
      </c>
      <c r="D51" s="150">
        <v>1.0289999999999999</v>
      </c>
      <c r="E51" s="150">
        <v>0.93799999999999994</v>
      </c>
      <c r="F51" s="150">
        <v>1.2230000000000001</v>
      </c>
      <c r="G51" s="150"/>
      <c r="H51" s="226">
        <f ca="1">OFFSET($HH51,0,'Расчет стоимости'!$M$10,1,1)</f>
        <v>1</v>
      </c>
      <c r="I51" s="150">
        <v>1</v>
      </c>
      <c r="J51" s="150">
        <v>1</v>
      </c>
      <c r="K51" s="149">
        <v>1</v>
      </c>
      <c r="L51" s="149">
        <v>1</v>
      </c>
      <c r="M51" s="372">
        <v>3.2000000000000001E-2</v>
      </c>
      <c r="N51" s="145">
        <v>2.8999999999999998E-2</v>
      </c>
      <c r="O51" s="145">
        <v>1.3000000000000001E-2</v>
      </c>
      <c r="P51" s="145">
        <v>0.04</v>
      </c>
      <c r="Q51" s="145">
        <v>3.0000000000000001E-3</v>
      </c>
      <c r="R51" s="152" t="s">
        <v>236</v>
      </c>
      <c r="T51" s="225">
        <f t="shared" si="181"/>
        <v>1</v>
      </c>
      <c r="U51" s="225">
        <f t="shared" si="181"/>
        <v>1</v>
      </c>
      <c r="V51" s="225">
        <f t="shared" si="181"/>
        <v>1</v>
      </c>
      <c r="W51" s="225">
        <f t="shared" si="181"/>
        <v>1</v>
      </c>
      <c r="X51" s="145">
        <f t="shared" si="175"/>
        <v>1</v>
      </c>
      <c r="Y51" s="145">
        <v>5.09</v>
      </c>
      <c r="Z51" s="145">
        <v>5.22</v>
      </c>
      <c r="AA51" s="145">
        <v>5.22</v>
      </c>
      <c r="AB51" s="145">
        <v>5.24</v>
      </c>
      <c r="AC51" s="145">
        <v>5.35</v>
      </c>
      <c r="AD51" s="41">
        <v>5.33</v>
      </c>
      <c r="AE51" s="41">
        <v>1</v>
      </c>
      <c r="AF51" s="41">
        <v>1</v>
      </c>
      <c r="AG51" s="41">
        <v>1</v>
      </c>
      <c r="AH51" s="41">
        <v>1</v>
      </c>
      <c r="AI51" s="41">
        <v>1</v>
      </c>
      <c r="AJ51" s="41">
        <v>1</v>
      </c>
      <c r="AK51" s="41">
        <v>1</v>
      </c>
      <c r="AL51" s="41">
        <v>1</v>
      </c>
      <c r="AM51" s="41">
        <v>1</v>
      </c>
      <c r="AN51" s="41">
        <v>1</v>
      </c>
      <c r="AO51" s="41">
        <v>1</v>
      </c>
      <c r="AP51" s="41">
        <v>1</v>
      </c>
      <c r="AQ51" s="41">
        <v>1</v>
      </c>
      <c r="AR51" s="41">
        <v>1</v>
      </c>
      <c r="AS51" s="41">
        <v>1</v>
      </c>
      <c r="AT51" s="41">
        <v>1</v>
      </c>
      <c r="AU51" s="41">
        <v>1</v>
      </c>
      <c r="AV51" s="41">
        <v>1</v>
      </c>
      <c r="AW51" s="41">
        <v>1</v>
      </c>
      <c r="AX51" s="41">
        <v>1</v>
      </c>
      <c r="AY51" s="41">
        <v>1</v>
      </c>
      <c r="AZ51" s="41">
        <v>1</v>
      </c>
      <c r="BA51" s="41">
        <v>1</v>
      </c>
      <c r="BB51" s="41">
        <v>1</v>
      </c>
      <c r="BD51" s="145">
        <f t="shared" si="176"/>
        <v>1</v>
      </c>
      <c r="BE51" s="145">
        <v>3.41</v>
      </c>
      <c r="BF51" s="145">
        <v>3.43</v>
      </c>
      <c r="BG51" s="145">
        <v>3.43</v>
      </c>
      <c r="BH51" s="145">
        <v>3.44</v>
      </c>
      <c r="BI51" s="145">
        <v>3.51</v>
      </c>
      <c r="BJ51" s="41">
        <v>3.5</v>
      </c>
      <c r="BK51" s="41">
        <v>1</v>
      </c>
      <c r="BL51" s="41">
        <v>1</v>
      </c>
      <c r="BM51" s="41">
        <v>1</v>
      </c>
      <c r="BN51" s="41">
        <v>1</v>
      </c>
      <c r="BO51" s="41">
        <v>1</v>
      </c>
      <c r="BP51" s="41">
        <v>1</v>
      </c>
      <c r="BQ51" s="41">
        <v>1</v>
      </c>
      <c r="BR51" s="41">
        <v>1</v>
      </c>
      <c r="BS51" s="41">
        <v>1</v>
      </c>
      <c r="BT51" s="41">
        <v>1</v>
      </c>
      <c r="BU51" s="41">
        <v>1</v>
      </c>
      <c r="BV51" s="41">
        <v>1</v>
      </c>
      <c r="BW51" s="41">
        <v>1</v>
      </c>
      <c r="BX51" s="41">
        <v>1</v>
      </c>
      <c r="BY51" s="41">
        <v>1</v>
      </c>
      <c r="BZ51" s="41">
        <v>1</v>
      </c>
      <c r="CA51" s="41">
        <v>1</v>
      </c>
      <c r="CB51" s="41">
        <v>1</v>
      </c>
      <c r="CC51" s="41">
        <v>1</v>
      </c>
      <c r="CD51" s="41">
        <v>1</v>
      </c>
      <c r="CE51" s="41">
        <v>1</v>
      </c>
      <c r="CF51" s="41">
        <v>1</v>
      </c>
      <c r="CG51" s="41">
        <v>1</v>
      </c>
      <c r="CH51" s="41">
        <v>1</v>
      </c>
      <c r="CJ51" s="145">
        <f t="shared" si="177"/>
        <v>1</v>
      </c>
      <c r="CK51" s="145">
        <v>3.47</v>
      </c>
      <c r="CL51" s="145">
        <v>3.49</v>
      </c>
      <c r="CM51" s="145">
        <v>3.49</v>
      </c>
      <c r="CN51" s="145">
        <v>3.5</v>
      </c>
      <c r="CO51" s="145">
        <v>3.57</v>
      </c>
      <c r="CP51" s="41">
        <v>3.56</v>
      </c>
      <c r="CQ51" s="41">
        <v>1</v>
      </c>
      <c r="CR51" s="41">
        <v>1</v>
      </c>
      <c r="CS51" s="41">
        <v>1</v>
      </c>
      <c r="CT51" s="41">
        <v>1</v>
      </c>
      <c r="CU51" s="41">
        <v>1</v>
      </c>
      <c r="CV51" s="41">
        <v>1</v>
      </c>
      <c r="CW51" s="41">
        <v>1</v>
      </c>
      <c r="CX51" s="41">
        <v>1</v>
      </c>
      <c r="CY51" s="41">
        <v>1</v>
      </c>
      <c r="CZ51" s="41">
        <v>1</v>
      </c>
      <c r="DA51" s="41">
        <v>1</v>
      </c>
      <c r="DB51" s="41">
        <v>1</v>
      </c>
      <c r="DC51" s="41">
        <v>1</v>
      </c>
      <c r="DD51" s="41">
        <v>1</v>
      </c>
      <c r="DE51" s="41">
        <v>1</v>
      </c>
      <c r="DF51" s="41">
        <v>1</v>
      </c>
      <c r="DG51" s="41">
        <v>1</v>
      </c>
      <c r="DH51" s="41">
        <v>1</v>
      </c>
      <c r="DI51" s="41">
        <v>1</v>
      </c>
      <c r="DJ51" s="41">
        <v>1</v>
      </c>
      <c r="DK51" s="41">
        <v>1</v>
      </c>
      <c r="DL51" s="41">
        <v>1</v>
      </c>
      <c r="DM51" s="41">
        <v>1</v>
      </c>
      <c r="DN51" s="41">
        <v>1</v>
      </c>
      <c r="DP51" s="145">
        <f t="shared" si="178"/>
        <v>1</v>
      </c>
      <c r="DQ51" s="145">
        <v>4.17</v>
      </c>
      <c r="DR51" s="145">
        <v>4.28</v>
      </c>
      <c r="DS51" s="145">
        <v>4.28</v>
      </c>
      <c r="DT51" s="145">
        <v>4.3</v>
      </c>
      <c r="DU51" s="145">
        <v>4.3899999999999997</v>
      </c>
      <c r="DV51" s="41">
        <v>4.37</v>
      </c>
      <c r="DW51" s="41">
        <v>1</v>
      </c>
      <c r="DX51" s="41">
        <v>1</v>
      </c>
      <c r="DY51" s="41">
        <v>1</v>
      </c>
      <c r="DZ51" s="41">
        <v>1</v>
      </c>
      <c r="EA51" s="41">
        <v>1</v>
      </c>
      <c r="EB51" s="41">
        <v>1</v>
      </c>
      <c r="EC51" s="41">
        <v>1</v>
      </c>
      <c r="ED51" s="41">
        <v>1</v>
      </c>
      <c r="EE51" s="41">
        <v>1</v>
      </c>
      <c r="EF51" s="41">
        <v>1</v>
      </c>
      <c r="EG51" s="41">
        <v>1</v>
      </c>
      <c r="EH51" s="41">
        <v>1</v>
      </c>
      <c r="EI51" s="41">
        <v>1</v>
      </c>
      <c r="EJ51" s="41">
        <v>1</v>
      </c>
      <c r="EK51" s="41">
        <v>1</v>
      </c>
      <c r="EL51" s="41">
        <v>1</v>
      </c>
      <c r="EM51" s="41">
        <v>1</v>
      </c>
      <c r="EN51" s="41">
        <v>1</v>
      </c>
      <c r="EO51" s="41">
        <v>1</v>
      </c>
      <c r="EP51" s="41">
        <v>1</v>
      </c>
      <c r="EQ51" s="41">
        <v>1</v>
      </c>
      <c r="ER51" s="41">
        <v>1</v>
      </c>
      <c r="ES51" s="41">
        <v>1</v>
      </c>
      <c r="ET51" s="41">
        <v>1</v>
      </c>
      <c r="EV51" s="145">
        <f t="shared" si="179"/>
        <v>1</v>
      </c>
      <c r="EW51" s="145">
        <v>3.94</v>
      </c>
      <c r="EX51" s="145">
        <v>4.01</v>
      </c>
      <c r="EY51" s="145">
        <v>4.01</v>
      </c>
      <c r="EZ51" s="145">
        <v>4.03</v>
      </c>
      <c r="FA51" s="145">
        <v>4.1100000000000003</v>
      </c>
      <c r="FB51" s="41">
        <v>4.09</v>
      </c>
      <c r="FC51" s="41">
        <v>1</v>
      </c>
      <c r="FD51" s="41">
        <v>1</v>
      </c>
      <c r="FE51" s="41">
        <v>1</v>
      </c>
      <c r="FF51" s="41">
        <v>1</v>
      </c>
      <c r="FG51" s="41">
        <v>1</v>
      </c>
      <c r="FH51" s="41">
        <v>1</v>
      </c>
      <c r="FI51" s="41">
        <v>1</v>
      </c>
      <c r="FJ51" s="41">
        <v>1</v>
      </c>
      <c r="FK51" s="41">
        <v>1</v>
      </c>
      <c r="FL51" s="41">
        <v>1</v>
      </c>
      <c r="FM51" s="41">
        <v>1</v>
      </c>
      <c r="FN51" s="41">
        <v>1</v>
      </c>
      <c r="FO51" s="41">
        <v>1</v>
      </c>
      <c r="FP51" s="41">
        <v>1</v>
      </c>
      <c r="FQ51" s="41">
        <v>1</v>
      </c>
      <c r="FR51" s="41">
        <v>1</v>
      </c>
      <c r="FS51" s="41">
        <v>1</v>
      </c>
      <c r="FT51" s="41">
        <v>1</v>
      </c>
      <c r="FU51" s="41">
        <v>1</v>
      </c>
      <c r="FV51" s="41">
        <v>1</v>
      </c>
      <c r="FW51" s="41">
        <v>1</v>
      </c>
      <c r="FX51" s="41">
        <v>1</v>
      </c>
      <c r="FY51" s="41">
        <v>1</v>
      </c>
      <c r="FZ51" s="41">
        <v>1</v>
      </c>
      <c r="GB51" s="145">
        <f t="shared" si="180"/>
        <v>1</v>
      </c>
      <c r="GC51" s="145">
        <v>9.52</v>
      </c>
      <c r="GD51" s="145">
        <v>9.7799999999999994</v>
      </c>
      <c r="GE51" s="145">
        <v>9.7799999999999994</v>
      </c>
      <c r="GF51" s="145">
        <v>9.82</v>
      </c>
      <c r="GG51" s="145">
        <v>10.029999999999999</v>
      </c>
      <c r="GH51" s="41">
        <v>9.99</v>
      </c>
      <c r="GI51" s="41">
        <v>1</v>
      </c>
      <c r="GJ51" s="41">
        <v>1</v>
      </c>
      <c r="GK51" s="41">
        <v>1</v>
      </c>
      <c r="GL51" s="41">
        <v>1</v>
      </c>
      <c r="GM51" s="41">
        <v>1</v>
      </c>
      <c r="GN51" s="41">
        <v>1</v>
      </c>
      <c r="GO51" s="41">
        <v>1</v>
      </c>
      <c r="GP51" s="41">
        <v>1</v>
      </c>
      <c r="GQ51" s="41">
        <v>1</v>
      </c>
      <c r="GR51" s="41">
        <v>1</v>
      </c>
      <c r="GS51" s="41">
        <v>1</v>
      </c>
      <c r="GT51" s="41">
        <v>1</v>
      </c>
      <c r="GU51" s="41">
        <v>1</v>
      </c>
      <c r="GV51" s="41">
        <v>1</v>
      </c>
      <c r="GW51" s="41">
        <v>1</v>
      </c>
      <c r="GX51" s="41">
        <v>1</v>
      </c>
      <c r="GY51" s="41">
        <v>1</v>
      </c>
      <c r="GZ51" s="41">
        <v>1</v>
      </c>
      <c r="HA51" s="41">
        <v>1</v>
      </c>
      <c r="HB51" s="41">
        <v>1</v>
      </c>
      <c r="HC51" s="41">
        <v>1</v>
      </c>
      <c r="HD51" s="41">
        <v>1</v>
      </c>
      <c r="HE51" s="41">
        <v>1</v>
      </c>
      <c r="HF51" s="41">
        <v>1</v>
      </c>
      <c r="HH51" s="373">
        <v>1</v>
      </c>
      <c r="HI51" s="218">
        <v>1</v>
      </c>
      <c r="HJ51" s="229">
        <v>1</v>
      </c>
      <c r="HK51" s="229">
        <v>1</v>
      </c>
      <c r="HM51" s="373">
        <f t="shared" si="173"/>
        <v>1</v>
      </c>
      <c r="HN51" s="145">
        <v>1</v>
      </c>
    </row>
    <row r="52" spans="1:228" ht="12.75" hidden="1" customHeight="1" x14ac:dyDescent="0.2">
      <c r="A52" s="373">
        <f t="shared" si="172"/>
        <v>48</v>
      </c>
      <c r="B52" s="149" t="s">
        <v>160</v>
      </c>
      <c r="C52" s="150">
        <v>1.06</v>
      </c>
      <c r="D52" s="150">
        <v>1.0629999999999999</v>
      </c>
      <c r="E52" s="150">
        <v>1.0740000000000001</v>
      </c>
      <c r="F52" s="150">
        <v>0.98099999999999998</v>
      </c>
      <c r="G52" s="150"/>
      <c r="H52" s="226">
        <f ca="1">OFFSET($HH52,0,'Расчет стоимости'!$M$10,1,1)</f>
        <v>1.1100000000000001</v>
      </c>
      <c r="I52" s="150">
        <v>1</v>
      </c>
      <c r="J52" s="150">
        <v>1</v>
      </c>
      <c r="K52" s="149">
        <v>1</v>
      </c>
      <c r="L52" s="149">
        <v>1</v>
      </c>
      <c r="M52" s="372">
        <v>3.2000000000000001E-2</v>
      </c>
      <c r="N52" s="145">
        <v>2.8999999999999998E-2</v>
      </c>
      <c r="O52" s="145">
        <v>1.3000000000000001E-2</v>
      </c>
      <c r="P52" s="145">
        <v>0.04</v>
      </c>
      <c r="Q52" s="145">
        <v>3.0000000000000001E-3</v>
      </c>
      <c r="R52" s="152" t="s">
        <v>236</v>
      </c>
      <c r="T52" s="225">
        <f t="shared" si="181"/>
        <v>1</v>
      </c>
      <c r="U52" s="225">
        <f t="shared" si="181"/>
        <v>1</v>
      </c>
      <c r="V52" s="225">
        <f t="shared" si="181"/>
        <v>1</v>
      </c>
      <c r="W52" s="225">
        <f t="shared" si="181"/>
        <v>1</v>
      </c>
      <c r="X52" s="145">
        <f t="shared" si="175"/>
        <v>1</v>
      </c>
      <c r="Y52" s="145">
        <v>5.92</v>
      </c>
      <c r="Z52" s="145">
        <v>6.08</v>
      </c>
      <c r="AA52" s="145">
        <v>6.08</v>
      </c>
      <c r="AB52" s="145">
        <v>6.1</v>
      </c>
      <c r="AC52" s="145">
        <v>6.23</v>
      </c>
      <c r="AD52" s="41">
        <v>6.21</v>
      </c>
      <c r="AE52" s="41">
        <v>1</v>
      </c>
      <c r="AF52" s="41">
        <v>1</v>
      </c>
      <c r="AG52" s="41">
        <v>1</v>
      </c>
      <c r="AH52" s="41">
        <v>1</v>
      </c>
      <c r="AI52" s="41">
        <v>1</v>
      </c>
      <c r="AJ52" s="41">
        <v>1</v>
      </c>
      <c r="AK52" s="41">
        <v>1</v>
      </c>
      <c r="AL52" s="41">
        <v>1</v>
      </c>
      <c r="AM52" s="41">
        <v>1</v>
      </c>
      <c r="AN52" s="41">
        <v>1</v>
      </c>
      <c r="AO52" s="41">
        <v>1</v>
      </c>
      <c r="AP52" s="41">
        <v>1</v>
      </c>
      <c r="AQ52" s="41">
        <v>1</v>
      </c>
      <c r="AR52" s="41">
        <v>1</v>
      </c>
      <c r="AS52" s="41">
        <v>1</v>
      </c>
      <c r="AT52" s="41">
        <v>1</v>
      </c>
      <c r="AU52" s="41">
        <v>1</v>
      </c>
      <c r="AV52" s="41">
        <v>1</v>
      </c>
      <c r="AW52" s="41">
        <v>1</v>
      </c>
      <c r="AX52" s="41">
        <v>1</v>
      </c>
      <c r="AY52" s="41">
        <v>1</v>
      </c>
      <c r="AZ52" s="41">
        <v>1</v>
      </c>
      <c r="BA52" s="41">
        <v>1</v>
      </c>
      <c r="BB52" s="41">
        <v>1</v>
      </c>
      <c r="BD52" s="145">
        <f t="shared" si="176"/>
        <v>1</v>
      </c>
      <c r="BE52" s="145">
        <v>3.61</v>
      </c>
      <c r="BF52" s="145">
        <v>3.64</v>
      </c>
      <c r="BG52" s="145">
        <v>3.64</v>
      </c>
      <c r="BH52" s="145">
        <v>3.65</v>
      </c>
      <c r="BI52" s="145">
        <v>3.73</v>
      </c>
      <c r="BJ52" s="41">
        <v>3.72</v>
      </c>
      <c r="BK52" s="41">
        <v>1</v>
      </c>
      <c r="BL52" s="41">
        <v>1</v>
      </c>
      <c r="BM52" s="41">
        <v>1</v>
      </c>
      <c r="BN52" s="41">
        <v>1</v>
      </c>
      <c r="BO52" s="41">
        <v>1</v>
      </c>
      <c r="BP52" s="41">
        <v>1</v>
      </c>
      <c r="BQ52" s="41">
        <v>1</v>
      </c>
      <c r="BR52" s="41">
        <v>1</v>
      </c>
      <c r="BS52" s="41">
        <v>1</v>
      </c>
      <c r="BT52" s="41">
        <v>1</v>
      </c>
      <c r="BU52" s="41">
        <v>1</v>
      </c>
      <c r="BV52" s="41">
        <v>1</v>
      </c>
      <c r="BW52" s="41">
        <v>1</v>
      </c>
      <c r="BX52" s="41">
        <v>1</v>
      </c>
      <c r="BY52" s="41">
        <v>1</v>
      </c>
      <c r="BZ52" s="41">
        <v>1</v>
      </c>
      <c r="CA52" s="41">
        <v>1</v>
      </c>
      <c r="CB52" s="41">
        <v>1</v>
      </c>
      <c r="CC52" s="41">
        <v>1</v>
      </c>
      <c r="CD52" s="41">
        <v>1</v>
      </c>
      <c r="CE52" s="41">
        <v>1</v>
      </c>
      <c r="CF52" s="41">
        <v>1</v>
      </c>
      <c r="CG52" s="41">
        <v>1</v>
      </c>
      <c r="CH52" s="41">
        <v>1</v>
      </c>
      <c r="CJ52" s="145">
        <f t="shared" si="177"/>
        <v>1</v>
      </c>
      <c r="CK52" s="145">
        <v>3.15</v>
      </c>
      <c r="CL52" s="145">
        <v>3.17</v>
      </c>
      <c r="CM52" s="145">
        <v>3.17</v>
      </c>
      <c r="CN52" s="145">
        <v>3.18</v>
      </c>
      <c r="CO52" s="145">
        <v>3.25</v>
      </c>
      <c r="CP52" s="41">
        <v>3.24</v>
      </c>
      <c r="CQ52" s="41">
        <v>1</v>
      </c>
      <c r="CR52" s="41">
        <v>1</v>
      </c>
      <c r="CS52" s="41">
        <v>1</v>
      </c>
      <c r="CT52" s="41">
        <v>1</v>
      </c>
      <c r="CU52" s="41">
        <v>1</v>
      </c>
      <c r="CV52" s="41">
        <v>1</v>
      </c>
      <c r="CW52" s="41">
        <v>1</v>
      </c>
      <c r="CX52" s="41">
        <v>1</v>
      </c>
      <c r="CY52" s="41">
        <v>1</v>
      </c>
      <c r="CZ52" s="41">
        <v>1</v>
      </c>
      <c r="DA52" s="41">
        <v>1</v>
      </c>
      <c r="DB52" s="41">
        <v>1</v>
      </c>
      <c r="DC52" s="41">
        <v>1</v>
      </c>
      <c r="DD52" s="41">
        <v>1</v>
      </c>
      <c r="DE52" s="41">
        <v>1</v>
      </c>
      <c r="DF52" s="41">
        <v>1</v>
      </c>
      <c r="DG52" s="41">
        <v>1</v>
      </c>
      <c r="DH52" s="41">
        <v>1</v>
      </c>
      <c r="DI52" s="41">
        <v>1</v>
      </c>
      <c r="DJ52" s="41">
        <v>1</v>
      </c>
      <c r="DK52" s="41">
        <v>1</v>
      </c>
      <c r="DL52" s="41">
        <v>1</v>
      </c>
      <c r="DM52" s="41">
        <v>1</v>
      </c>
      <c r="DN52" s="41">
        <v>1</v>
      </c>
      <c r="DP52" s="145">
        <f t="shared" si="178"/>
        <v>1</v>
      </c>
      <c r="DQ52" s="145">
        <v>4.5599999999999996</v>
      </c>
      <c r="DR52" s="145">
        <v>4.68</v>
      </c>
      <c r="DS52" s="145">
        <v>4.68</v>
      </c>
      <c r="DT52" s="145">
        <v>4.7</v>
      </c>
      <c r="DU52" s="145">
        <v>4.8</v>
      </c>
      <c r="DV52" s="41">
        <v>4.78</v>
      </c>
      <c r="DW52" s="41">
        <v>1</v>
      </c>
      <c r="DX52" s="41">
        <v>1</v>
      </c>
      <c r="DY52" s="41">
        <v>1</v>
      </c>
      <c r="DZ52" s="41">
        <v>1</v>
      </c>
      <c r="EA52" s="41">
        <v>1</v>
      </c>
      <c r="EB52" s="41">
        <v>1</v>
      </c>
      <c r="EC52" s="41">
        <v>1</v>
      </c>
      <c r="ED52" s="41">
        <v>1</v>
      </c>
      <c r="EE52" s="41">
        <v>1</v>
      </c>
      <c r="EF52" s="41">
        <v>1</v>
      </c>
      <c r="EG52" s="41">
        <v>1</v>
      </c>
      <c r="EH52" s="41">
        <v>1</v>
      </c>
      <c r="EI52" s="41">
        <v>1</v>
      </c>
      <c r="EJ52" s="41">
        <v>1</v>
      </c>
      <c r="EK52" s="41">
        <v>1</v>
      </c>
      <c r="EL52" s="41">
        <v>1</v>
      </c>
      <c r="EM52" s="41">
        <v>1</v>
      </c>
      <c r="EN52" s="41">
        <v>1</v>
      </c>
      <c r="EO52" s="41">
        <v>1</v>
      </c>
      <c r="EP52" s="41">
        <v>1</v>
      </c>
      <c r="EQ52" s="41">
        <v>1</v>
      </c>
      <c r="ER52" s="41">
        <v>1</v>
      </c>
      <c r="ES52" s="41">
        <v>1</v>
      </c>
      <c r="ET52" s="41">
        <v>1</v>
      </c>
      <c r="EV52" s="145">
        <f t="shared" si="179"/>
        <v>1</v>
      </c>
      <c r="EW52" s="145">
        <v>3.63</v>
      </c>
      <c r="EX52" s="145">
        <v>3.71</v>
      </c>
      <c r="EY52" s="145">
        <v>3.71</v>
      </c>
      <c r="EZ52" s="145">
        <v>3.72</v>
      </c>
      <c r="FA52" s="145">
        <v>3.8</v>
      </c>
      <c r="FB52" s="41">
        <v>3.78</v>
      </c>
      <c r="FC52" s="41">
        <v>1</v>
      </c>
      <c r="FD52" s="41">
        <v>1</v>
      </c>
      <c r="FE52" s="41">
        <v>1</v>
      </c>
      <c r="FF52" s="41">
        <v>1</v>
      </c>
      <c r="FG52" s="41">
        <v>1</v>
      </c>
      <c r="FH52" s="41">
        <v>1</v>
      </c>
      <c r="FI52" s="41">
        <v>1</v>
      </c>
      <c r="FJ52" s="41">
        <v>1</v>
      </c>
      <c r="FK52" s="41">
        <v>1</v>
      </c>
      <c r="FL52" s="41">
        <v>1</v>
      </c>
      <c r="FM52" s="41">
        <v>1</v>
      </c>
      <c r="FN52" s="41">
        <v>1</v>
      </c>
      <c r="FO52" s="41">
        <v>1</v>
      </c>
      <c r="FP52" s="41">
        <v>1</v>
      </c>
      <c r="FQ52" s="41">
        <v>1</v>
      </c>
      <c r="FR52" s="41">
        <v>1</v>
      </c>
      <c r="FS52" s="41">
        <v>1</v>
      </c>
      <c r="FT52" s="41">
        <v>1</v>
      </c>
      <c r="FU52" s="41">
        <v>1</v>
      </c>
      <c r="FV52" s="41">
        <v>1</v>
      </c>
      <c r="FW52" s="41">
        <v>1</v>
      </c>
      <c r="FX52" s="41">
        <v>1</v>
      </c>
      <c r="FY52" s="41">
        <v>1</v>
      </c>
      <c r="FZ52" s="41">
        <v>1</v>
      </c>
      <c r="GB52" s="145">
        <f t="shared" si="180"/>
        <v>1</v>
      </c>
      <c r="GC52" s="145">
        <v>9.4700000000000006</v>
      </c>
      <c r="GD52" s="145">
        <v>9.7200000000000006</v>
      </c>
      <c r="GE52" s="145">
        <v>9.7200000000000006</v>
      </c>
      <c r="GF52" s="145">
        <v>9.76</v>
      </c>
      <c r="GG52" s="145">
        <v>9.9600000000000009</v>
      </c>
      <c r="GH52" s="41">
        <v>9.92</v>
      </c>
      <c r="GI52" s="41">
        <v>1</v>
      </c>
      <c r="GJ52" s="41">
        <v>1</v>
      </c>
      <c r="GK52" s="41">
        <v>1</v>
      </c>
      <c r="GL52" s="41">
        <v>1</v>
      </c>
      <c r="GM52" s="41">
        <v>1</v>
      </c>
      <c r="GN52" s="41">
        <v>1</v>
      </c>
      <c r="GO52" s="41">
        <v>1</v>
      </c>
      <c r="GP52" s="41">
        <v>1</v>
      </c>
      <c r="GQ52" s="41">
        <v>1</v>
      </c>
      <c r="GR52" s="41">
        <v>1</v>
      </c>
      <c r="GS52" s="41">
        <v>1</v>
      </c>
      <c r="GT52" s="41">
        <v>1</v>
      </c>
      <c r="GU52" s="41">
        <v>1</v>
      </c>
      <c r="GV52" s="41">
        <v>1</v>
      </c>
      <c r="GW52" s="41">
        <v>1</v>
      </c>
      <c r="GX52" s="41">
        <v>1</v>
      </c>
      <c r="GY52" s="41">
        <v>1</v>
      </c>
      <c r="GZ52" s="41">
        <v>1</v>
      </c>
      <c r="HA52" s="41">
        <v>1</v>
      </c>
      <c r="HB52" s="41">
        <v>1</v>
      </c>
      <c r="HC52" s="41">
        <v>1</v>
      </c>
      <c r="HD52" s="41">
        <v>1</v>
      </c>
      <c r="HE52" s="41">
        <v>1</v>
      </c>
      <c r="HF52" s="41">
        <v>1</v>
      </c>
      <c r="HH52" s="373">
        <v>1</v>
      </c>
      <c r="HI52" s="218">
        <v>1.1100000000000001</v>
      </c>
      <c r="HJ52" s="229">
        <v>1.1100000000000001</v>
      </c>
      <c r="HK52" s="229">
        <v>1.1100000000000001</v>
      </c>
      <c r="HM52" s="373">
        <f t="shared" si="173"/>
        <v>1</v>
      </c>
      <c r="HN52" s="145">
        <v>1</v>
      </c>
    </row>
    <row r="53" spans="1:228" hidden="1" x14ac:dyDescent="0.2">
      <c r="A53" s="373">
        <f t="shared" si="172"/>
        <v>49</v>
      </c>
      <c r="B53" s="149" t="s">
        <v>295</v>
      </c>
      <c r="C53" s="150">
        <v>0.98299999999999998</v>
      </c>
      <c r="D53" s="150">
        <v>0.99099999999999999</v>
      </c>
      <c r="E53" s="150">
        <v>0.93500000000000005</v>
      </c>
      <c r="F53" s="150">
        <v>1.0620000000000001</v>
      </c>
      <c r="G53" s="150"/>
      <c r="H53" s="226">
        <f ca="1">OFFSET($HH53,0,'Расчет стоимости'!$M$10,1,1)</f>
        <v>1</v>
      </c>
      <c r="I53" s="150">
        <v>1</v>
      </c>
      <c r="J53" s="150">
        <v>1</v>
      </c>
      <c r="K53" s="149">
        <v>1</v>
      </c>
      <c r="L53" s="149">
        <v>1</v>
      </c>
      <c r="M53" s="372">
        <v>3.2000000000000001E-2</v>
      </c>
      <c r="N53" s="145">
        <v>2.8999999999999998E-2</v>
      </c>
      <c r="O53" s="145">
        <v>1.3000000000000001E-2</v>
      </c>
      <c r="P53" s="145">
        <v>0.04</v>
      </c>
      <c r="Q53" s="145">
        <v>3.0000000000000001E-3</v>
      </c>
      <c r="R53" s="152" t="s">
        <v>236</v>
      </c>
      <c r="T53" s="225">
        <f t="shared" si="181"/>
        <v>1</v>
      </c>
      <c r="U53" s="225">
        <f t="shared" si="181"/>
        <v>1</v>
      </c>
      <c r="V53" s="225">
        <f t="shared" si="181"/>
        <v>1</v>
      </c>
      <c r="W53" s="225">
        <f t="shared" si="181"/>
        <v>1</v>
      </c>
      <c r="X53" s="145">
        <f t="shared" si="175"/>
        <v>1</v>
      </c>
      <c r="Y53" s="145">
        <v>5.82</v>
      </c>
      <c r="Z53" s="145">
        <v>5.98</v>
      </c>
      <c r="AA53" s="145">
        <v>5.98</v>
      </c>
      <c r="AB53" s="145">
        <v>6</v>
      </c>
      <c r="AC53" s="145">
        <v>6.13</v>
      </c>
      <c r="AD53" s="41">
        <v>6.11</v>
      </c>
      <c r="AE53" s="41">
        <v>1</v>
      </c>
      <c r="AF53" s="41">
        <v>1</v>
      </c>
      <c r="AG53" s="41">
        <v>1</v>
      </c>
      <c r="AH53" s="41">
        <v>1</v>
      </c>
      <c r="AI53" s="41">
        <v>1</v>
      </c>
      <c r="AJ53" s="41">
        <v>1</v>
      </c>
      <c r="AK53" s="41">
        <v>1</v>
      </c>
      <c r="AL53" s="41">
        <v>1</v>
      </c>
      <c r="AM53" s="41">
        <v>1</v>
      </c>
      <c r="AN53" s="41">
        <v>1</v>
      </c>
      <c r="AO53" s="41">
        <v>1</v>
      </c>
      <c r="AP53" s="41">
        <v>1</v>
      </c>
      <c r="AQ53" s="41">
        <v>1</v>
      </c>
      <c r="AR53" s="41">
        <v>1</v>
      </c>
      <c r="AS53" s="41">
        <v>1</v>
      </c>
      <c r="AT53" s="41">
        <v>1</v>
      </c>
      <c r="AU53" s="41">
        <v>1</v>
      </c>
      <c r="AV53" s="41">
        <v>1</v>
      </c>
      <c r="AW53" s="41">
        <v>1</v>
      </c>
      <c r="AX53" s="41">
        <v>1</v>
      </c>
      <c r="AY53" s="41">
        <v>1</v>
      </c>
      <c r="AZ53" s="41">
        <v>1</v>
      </c>
      <c r="BA53" s="41">
        <v>1</v>
      </c>
      <c r="BB53" s="41">
        <v>1</v>
      </c>
      <c r="BD53" s="145">
        <f t="shared" si="176"/>
        <v>1</v>
      </c>
      <c r="BE53" s="145">
        <v>3.76</v>
      </c>
      <c r="BF53" s="145">
        <v>3.75</v>
      </c>
      <c r="BG53" s="145">
        <v>3.75</v>
      </c>
      <c r="BH53" s="145">
        <v>3.72</v>
      </c>
      <c r="BI53" s="145">
        <v>3.77</v>
      </c>
      <c r="BJ53" s="41">
        <v>3.74</v>
      </c>
      <c r="BK53" s="41">
        <v>1</v>
      </c>
      <c r="BL53" s="41">
        <v>1</v>
      </c>
      <c r="BM53" s="41">
        <v>1</v>
      </c>
      <c r="BN53" s="41">
        <v>1</v>
      </c>
      <c r="BO53" s="41">
        <v>1</v>
      </c>
      <c r="BP53" s="41">
        <v>1</v>
      </c>
      <c r="BQ53" s="41">
        <v>1</v>
      </c>
      <c r="BR53" s="41">
        <v>1</v>
      </c>
      <c r="BS53" s="41">
        <v>1</v>
      </c>
      <c r="BT53" s="41">
        <v>1</v>
      </c>
      <c r="BU53" s="41">
        <v>1</v>
      </c>
      <c r="BV53" s="41">
        <v>1</v>
      </c>
      <c r="BW53" s="41">
        <v>1</v>
      </c>
      <c r="BX53" s="41">
        <v>1</v>
      </c>
      <c r="BY53" s="41">
        <v>1</v>
      </c>
      <c r="BZ53" s="41">
        <v>1</v>
      </c>
      <c r="CA53" s="41">
        <v>1</v>
      </c>
      <c r="CB53" s="41">
        <v>1</v>
      </c>
      <c r="CC53" s="41">
        <v>1</v>
      </c>
      <c r="CD53" s="41">
        <v>1</v>
      </c>
      <c r="CE53" s="41">
        <v>1</v>
      </c>
      <c r="CF53" s="41">
        <v>1</v>
      </c>
      <c r="CG53" s="41">
        <v>1</v>
      </c>
      <c r="CH53" s="41">
        <v>1</v>
      </c>
      <c r="CJ53" s="145">
        <f t="shared" si="177"/>
        <v>1</v>
      </c>
      <c r="CK53" s="145">
        <v>3.77</v>
      </c>
      <c r="CL53" s="145">
        <v>3.75</v>
      </c>
      <c r="CM53" s="145">
        <v>3.75</v>
      </c>
      <c r="CN53" s="145">
        <v>3.72</v>
      </c>
      <c r="CO53" s="145">
        <v>3.78</v>
      </c>
      <c r="CP53" s="41">
        <v>3.72</v>
      </c>
      <c r="CQ53" s="41">
        <v>1</v>
      </c>
      <c r="CR53" s="41">
        <v>1</v>
      </c>
      <c r="CS53" s="41">
        <v>1</v>
      </c>
      <c r="CT53" s="41">
        <v>1</v>
      </c>
      <c r="CU53" s="41">
        <v>1</v>
      </c>
      <c r="CV53" s="41">
        <v>1</v>
      </c>
      <c r="CW53" s="41">
        <v>1</v>
      </c>
      <c r="CX53" s="41">
        <v>1</v>
      </c>
      <c r="CY53" s="41">
        <v>1</v>
      </c>
      <c r="CZ53" s="41">
        <v>1</v>
      </c>
      <c r="DA53" s="41">
        <v>1</v>
      </c>
      <c r="DB53" s="41">
        <v>1</v>
      </c>
      <c r="DC53" s="41">
        <v>1</v>
      </c>
      <c r="DD53" s="41">
        <v>1</v>
      </c>
      <c r="DE53" s="41">
        <v>1</v>
      </c>
      <c r="DF53" s="41">
        <v>1</v>
      </c>
      <c r="DG53" s="41">
        <v>1</v>
      </c>
      <c r="DH53" s="41">
        <v>1</v>
      </c>
      <c r="DI53" s="41">
        <v>1</v>
      </c>
      <c r="DJ53" s="41">
        <v>1</v>
      </c>
      <c r="DK53" s="41">
        <v>1</v>
      </c>
      <c r="DL53" s="41">
        <v>1</v>
      </c>
      <c r="DM53" s="41">
        <v>1</v>
      </c>
      <c r="DN53" s="41">
        <v>1</v>
      </c>
      <c r="DP53" s="145">
        <f t="shared" si="178"/>
        <v>1</v>
      </c>
      <c r="DQ53" s="145">
        <v>4.17</v>
      </c>
      <c r="DR53" s="145">
        <v>4.25</v>
      </c>
      <c r="DS53" s="145">
        <v>4.25</v>
      </c>
      <c r="DT53" s="145">
        <v>4.2699999999999996</v>
      </c>
      <c r="DU53" s="145">
        <v>4.3600000000000003</v>
      </c>
      <c r="DV53" s="41">
        <v>4.34</v>
      </c>
      <c r="DW53" s="41">
        <v>1</v>
      </c>
      <c r="DX53" s="41">
        <v>1</v>
      </c>
      <c r="DY53" s="41">
        <v>1</v>
      </c>
      <c r="DZ53" s="41">
        <v>1</v>
      </c>
      <c r="EA53" s="41">
        <v>1</v>
      </c>
      <c r="EB53" s="41">
        <v>1</v>
      </c>
      <c r="EC53" s="41">
        <v>1</v>
      </c>
      <c r="ED53" s="41">
        <v>1</v>
      </c>
      <c r="EE53" s="41">
        <v>1</v>
      </c>
      <c r="EF53" s="41">
        <v>1</v>
      </c>
      <c r="EG53" s="41">
        <v>1</v>
      </c>
      <c r="EH53" s="41">
        <v>1</v>
      </c>
      <c r="EI53" s="41">
        <v>1</v>
      </c>
      <c r="EJ53" s="41">
        <v>1</v>
      </c>
      <c r="EK53" s="41">
        <v>1</v>
      </c>
      <c r="EL53" s="41">
        <v>1</v>
      </c>
      <c r="EM53" s="41">
        <v>1</v>
      </c>
      <c r="EN53" s="41">
        <v>1</v>
      </c>
      <c r="EO53" s="41">
        <v>1</v>
      </c>
      <c r="EP53" s="41">
        <v>1</v>
      </c>
      <c r="EQ53" s="41">
        <v>1</v>
      </c>
      <c r="ER53" s="41">
        <v>1</v>
      </c>
      <c r="ES53" s="41">
        <v>1</v>
      </c>
      <c r="ET53" s="41">
        <v>1</v>
      </c>
      <c r="EV53" s="145">
        <f t="shared" si="179"/>
        <v>1</v>
      </c>
      <c r="EW53" s="145">
        <v>3.95</v>
      </c>
      <c r="EX53" s="145">
        <v>3.98</v>
      </c>
      <c r="EY53" s="145">
        <v>3.98</v>
      </c>
      <c r="EZ53" s="145">
        <v>4</v>
      </c>
      <c r="FA53" s="145">
        <v>4.03</v>
      </c>
      <c r="FB53" s="41">
        <v>4.01</v>
      </c>
      <c r="FC53" s="41">
        <v>1</v>
      </c>
      <c r="FD53" s="41">
        <v>1</v>
      </c>
      <c r="FE53" s="41">
        <v>1</v>
      </c>
      <c r="FF53" s="41">
        <v>1</v>
      </c>
      <c r="FG53" s="41">
        <v>1</v>
      </c>
      <c r="FH53" s="41">
        <v>1</v>
      </c>
      <c r="FI53" s="41">
        <v>1</v>
      </c>
      <c r="FJ53" s="41">
        <v>1</v>
      </c>
      <c r="FK53" s="41">
        <v>1</v>
      </c>
      <c r="FL53" s="41">
        <v>1</v>
      </c>
      <c r="FM53" s="41">
        <v>1</v>
      </c>
      <c r="FN53" s="41">
        <v>1</v>
      </c>
      <c r="FO53" s="41">
        <v>1</v>
      </c>
      <c r="FP53" s="41">
        <v>1</v>
      </c>
      <c r="FQ53" s="41">
        <v>1</v>
      </c>
      <c r="FR53" s="41">
        <v>1</v>
      </c>
      <c r="FS53" s="41">
        <v>1</v>
      </c>
      <c r="FT53" s="41">
        <v>1</v>
      </c>
      <c r="FU53" s="41">
        <v>1</v>
      </c>
      <c r="FV53" s="41">
        <v>1</v>
      </c>
      <c r="FW53" s="41">
        <v>1</v>
      </c>
      <c r="FX53" s="41">
        <v>1</v>
      </c>
      <c r="FY53" s="41">
        <v>1</v>
      </c>
      <c r="FZ53" s="41">
        <v>1</v>
      </c>
      <c r="GB53" s="145">
        <f t="shared" si="180"/>
        <v>1</v>
      </c>
      <c r="GC53" s="145">
        <v>10.28</v>
      </c>
      <c r="GD53" s="145">
        <v>10.51</v>
      </c>
      <c r="GE53" s="145">
        <v>10.51</v>
      </c>
      <c r="GF53" s="145">
        <v>10.55</v>
      </c>
      <c r="GG53" s="145">
        <v>10.77</v>
      </c>
      <c r="GH53" s="41">
        <v>10.73</v>
      </c>
      <c r="GI53" s="41">
        <v>1</v>
      </c>
      <c r="GJ53" s="41">
        <v>1</v>
      </c>
      <c r="GK53" s="41">
        <v>1</v>
      </c>
      <c r="GL53" s="41">
        <v>1</v>
      </c>
      <c r="GM53" s="41">
        <v>1</v>
      </c>
      <c r="GN53" s="41">
        <v>1</v>
      </c>
      <c r="GO53" s="41">
        <v>1</v>
      </c>
      <c r="GP53" s="41">
        <v>1</v>
      </c>
      <c r="GQ53" s="41">
        <v>1</v>
      </c>
      <c r="GR53" s="41">
        <v>1</v>
      </c>
      <c r="GS53" s="41">
        <v>1</v>
      </c>
      <c r="GT53" s="41">
        <v>1</v>
      </c>
      <c r="GU53" s="41">
        <v>1</v>
      </c>
      <c r="GV53" s="41">
        <v>1</v>
      </c>
      <c r="GW53" s="41">
        <v>1</v>
      </c>
      <c r="GX53" s="41">
        <v>1</v>
      </c>
      <c r="GY53" s="41">
        <v>1</v>
      </c>
      <c r="GZ53" s="41">
        <v>1</v>
      </c>
      <c r="HA53" s="41">
        <v>1</v>
      </c>
      <c r="HB53" s="41">
        <v>1</v>
      </c>
      <c r="HC53" s="41">
        <v>1</v>
      </c>
      <c r="HD53" s="41">
        <v>1</v>
      </c>
      <c r="HE53" s="41">
        <v>1</v>
      </c>
      <c r="HF53" s="41">
        <v>1</v>
      </c>
      <c r="HH53" s="373">
        <v>1</v>
      </c>
      <c r="HI53" s="218">
        <v>1</v>
      </c>
      <c r="HJ53" s="229">
        <v>1</v>
      </c>
      <c r="HK53" s="229">
        <v>1</v>
      </c>
      <c r="HM53" s="373">
        <f t="shared" si="173"/>
        <v>1</v>
      </c>
      <c r="HN53" s="145">
        <v>1</v>
      </c>
    </row>
    <row r="54" spans="1:228" hidden="1" x14ac:dyDescent="0.2">
      <c r="A54" s="373">
        <f t="shared" si="172"/>
        <v>50</v>
      </c>
      <c r="B54" s="149" t="s">
        <v>296</v>
      </c>
      <c r="C54" s="150">
        <v>1.0549999999999999</v>
      </c>
      <c r="D54" s="150">
        <v>1.0309999999999999</v>
      </c>
      <c r="E54" s="150">
        <v>1.141</v>
      </c>
      <c r="F54" s="150">
        <v>1.0429999999999999</v>
      </c>
      <c r="G54" s="150"/>
      <c r="H54" s="226">
        <f ca="1">OFFSET($HH54,0,'Расчет стоимости'!$M$10,1,1)</f>
        <v>1.0900000000000001</v>
      </c>
      <c r="I54" s="150">
        <v>1</v>
      </c>
      <c r="J54" s="150">
        <v>1</v>
      </c>
      <c r="K54" s="149">
        <v>1</v>
      </c>
      <c r="L54" s="149">
        <v>1</v>
      </c>
      <c r="M54" s="372">
        <v>3.2000000000000001E-2</v>
      </c>
      <c r="N54" s="145">
        <v>2.8999999999999998E-2</v>
      </c>
      <c r="O54" s="145">
        <v>1.3000000000000001E-2</v>
      </c>
      <c r="P54" s="145">
        <v>0.04</v>
      </c>
      <c r="Q54" s="145">
        <v>3.0000000000000001E-3</v>
      </c>
      <c r="R54" s="152" t="s">
        <v>236</v>
      </c>
      <c r="T54" s="225">
        <f t="shared" si="181"/>
        <v>1.0309999999999999</v>
      </c>
      <c r="U54" s="225">
        <f t="shared" si="181"/>
        <v>1.0309999999999999</v>
      </c>
      <c r="V54" s="225">
        <f t="shared" si="181"/>
        <v>1.0309999999999999</v>
      </c>
      <c r="W54" s="225">
        <f t="shared" si="181"/>
        <v>1.0309999999999999</v>
      </c>
      <c r="X54" s="145">
        <f t="shared" si="175"/>
        <v>1</v>
      </c>
      <c r="Y54" s="145">
        <v>5.96</v>
      </c>
      <c r="Z54" s="145">
        <v>6.03</v>
      </c>
      <c r="AA54" s="145">
        <v>6.03</v>
      </c>
      <c r="AB54" s="145">
        <v>6.05</v>
      </c>
      <c r="AC54" s="145">
        <v>6.18</v>
      </c>
      <c r="AD54" s="41">
        <v>6.16</v>
      </c>
      <c r="AE54" s="41">
        <v>1</v>
      </c>
      <c r="AF54" s="41">
        <v>1</v>
      </c>
      <c r="AG54" s="41">
        <v>1</v>
      </c>
      <c r="AH54" s="41">
        <v>1</v>
      </c>
      <c r="AI54" s="41">
        <v>1</v>
      </c>
      <c r="AJ54" s="41">
        <v>1</v>
      </c>
      <c r="AK54" s="41">
        <v>1</v>
      </c>
      <c r="AL54" s="41">
        <v>1</v>
      </c>
      <c r="AM54" s="41">
        <v>1</v>
      </c>
      <c r="AN54" s="41">
        <v>1</v>
      </c>
      <c r="AO54" s="41">
        <v>1</v>
      </c>
      <c r="AP54" s="41">
        <v>1</v>
      </c>
      <c r="AQ54" s="41">
        <v>1</v>
      </c>
      <c r="AR54" s="41">
        <v>1</v>
      </c>
      <c r="AS54" s="41">
        <v>1</v>
      </c>
      <c r="AT54" s="41">
        <v>1</v>
      </c>
      <c r="AU54" s="41">
        <v>1</v>
      </c>
      <c r="AV54" s="41">
        <v>1</v>
      </c>
      <c r="AW54" s="41">
        <v>1</v>
      </c>
      <c r="AX54" s="41">
        <v>1</v>
      </c>
      <c r="AY54" s="41">
        <v>1</v>
      </c>
      <c r="AZ54" s="41">
        <v>1</v>
      </c>
      <c r="BA54" s="41">
        <v>1</v>
      </c>
      <c r="BB54" s="41">
        <v>1</v>
      </c>
      <c r="BD54" s="145">
        <f t="shared" si="176"/>
        <v>1</v>
      </c>
      <c r="BE54" s="145">
        <v>4.08</v>
      </c>
      <c r="BF54" s="145">
        <v>4.12</v>
      </c>
      <c r="BG54" s="145">
        <v>4.12</v>
      </c>
      <c r="BH54" s="145">
        <v>4.1399999999999997</v>
      </c>
      <c r="BI54" s="145">
        <v>4.2300000000000004</v>
      </c>
      <c r="BJ54" s="41">
        <v>4.21</v>
      </c>
      <c r="BK54" s="41">
        <v>1</v>
      </c>
      <c r="BL54" s="41">
        <v>1</v>
      </c>
      <c r="BM54" s="41">
        <v>1</v>
      </c>
      <c r="BN54" s="41">
        <v>1</v>
      </c>
      <c r="BO54" s="41">
        <v>1</v>
      </c>
      <c r="BP54" s="41">
        <v>1</v>
      </c>
      <c r="BQ54" s="41">
        <v>1</v>
      </c>
      <c r="BR54" s="41">
        <v>1</v>
      </c>
      <c r="BS54" s="41">
        <v>1</v>
      </c>
      <c r="BT54" s="41">
        <v>1</v>
      </c>
      <c r="BU54" s="41">
        <v>1</v>
      </c>
      <c r="BV54" s="41">
        <v>1</v>
      </c>
      <c r="BW54" s="41">
        <v>1</v>
      </c>
      <c r="BX54" s="41">
        <v>1</v>
      </c>
      <c r="BY54" s="41">
        <v>1</v>
      </c>
      <c r="BZ54" s="41">
        <v>1</v>
      </c>
      <c r="CA54" s="41">
        <v>1</v>
      </c>
      <c r="CB54" s="41">
        <v>1</v>
      </c>
      <c r="CC54" s="41">
        <v>1</v>
      </c>
      <c r="CD54" s="41">
        <v>1</v>
      </c>
      <c r="CE54" s="41">
        <v>1</v>
      </c>
      <c r="CF54" s="41">
        <v>1</v>
      </c>
      <c r="CG54" s="41">
        <v>1</v>
      </c>
      <c r="CH54" s="41">
        <v>1</v>
      </c>
      <c r="CJ54" s="145">
        <f t="shared" si="177"/>
        <v>1</v>
      </c>
      <c r="CK54" s="145">
        <v>3.96</v>
      </c>
      <c r="CL54" s="145">
        <v>4.0599999999999996</v>
      </c>
      <c r="CM54" s="145">
        <v>4.0599999999999996</v>
      </c>
      <c r="CN54" s="145">
        <v>4.08</v>
      </c>
      <c r="CO54" s="145">
        <v>4.17</v>
      </c>
      <c r="CP54" s="41">
        <v>4.1500000000000004</v>
      </c>
      <c r="CQ54" s="41">
        <v>1</v>
      </c>
      <c r="CR54" s="41">
        <v>1</v>
      </c>
      <c r="CS54" s="41">
        <v>1</v>
      </c>
      <c r="CT54" s="41">
        <v>1</v>
      </c>
      <c r="CU54" s="41">
        <v>1</v>
      </c>
      <c r="CV54" s="41">
        <v>1</v>
      </c>
      <c r="CW54" s="41">
        <v>1</v>
      </c>
      <c r="CX54" s="41">
        <v>1</v>
      </c>
      <c r="CY54" s="41">
        <v>1</v>
      </c>
      <c r="CZ54" s="41">
        <v>1</v>
      </c>
      <c r="DA54" s="41">
        <v>1</v>
      </c>
      <c r="DB54" s="41">
        <v>1</v>
      </c>
      <c r="DC54" s="41">
        <v>1</v>
      </c>
      <c r="DD54" s="41">
        <v>1</v>
      </c>
      <c r="DE54" s="41">
        <v>1</v>
      </c>
      <c r="DF54" s="41">
        <v>1</v>
      </c>
      <c r="DG54" s="41">
        <v>1</v>
      </c>
      <c r="DH54" s="41">
        <v>1</v>
      </c>
      <c r="DI54" s="41">
        <v>1</v>
      </c>
      <c r="DJ54" s="41">
        <v>1</v>
      </c>
      <c r="DK54" s="41">
        <v>1</v>
      </c>
      <c r="DL54" s="41">
        <v>1</v>
      </c>
      <c r="DM54" s="41">
        <v>1</v>
      </c>
      <c r="DN54" s="41">
        <v>1</v>
      </c>
      <c r="DP54" s="145">
        <f t="shared" si="178"/>
        <v>1</v>
      </c>
      <c r="DQ54" s="145">
        <v>4.18</v>
      </c>
      <c r="DR54" s="145">
        <v>4.28</v>
      </c>
      <c r="DS54" s="145">
        <v>4.28</v>
      </c>
      <c r="DT54" s="145">
        <v>4.3</v>
      </c>
      <c r="DU54" s="145">
        <v>4.3899999999999997</v>
      </c>
      <c r="DV54" s="41">
        <v>4.37</v>
      </c>
      <c r="DW54" s="41">
        <v>1</v>
      </c>
      <c r="DX54" s="41">
        <v>1</v>
      </c>
      <c r="DY54" s="41">
        <v>1</v>
      </c>
      <c r="DZ54" s="41">
        <v>1</v>
      </c>
      <c r="EA54" s="41">
        <v>1</v>
      </c>
      <c r="EB54" s="41">
        <v>1</v>
      </c>
      <c r="EC54" s="41">
        <v>1</v>
      </c>
      <c r="ED54" s="41">
        <v>1</v>
      </c>
      <c r="EE54" s="41">
        <v>1</v>
      </c>
      <c r="EF54" s="41">
        <v>1</v>
      </c>
      <c r="EG54" s="41">
        <v>1</v>
      </c>
      <c r="EH54" s="41">
        <v>1</v>
      </c>
      <c r="EI54" s="41">
        <v>1</v>
      </c>
      <c r="EJ54" s="41">
        <v>1</v>
      </c>
      <c r="EK54" s="41">
        <v>1</v>
      </c>
      <c r="EL54" s="41">
        <v>1</v>
      </c>
      <c r="EM54" s="41">
        <v>1</v>
      </c>
      <c r="EN54" s="41">
        <v>1</v>
      </c>
      <c r="EO54" s="41">
        <v>1</v>
      </c>
      <c r="EP54" s="41">
        <v>1</v>
      </c>
      <c r="EQ54" s="41">
        <v>1</v>
      </c>
      <c r="ER54" s="41">
        <v>1</v>
      </c>
      <c r="ES54" s="41">
        <v>1</v>
      </c>
      <c r="ET54" s="41">
        <v>1</v>
      </c>
      <c r="EV54" s="145">
        <f t="shared" si="179"/>
        <v>1</v>
      </c>
      <c r="EW54" s="145">
        <v>4.07</v>
      </c>
      <c r="EX54" s="145">
        <v>4.17</v>
      </c>
      <c r="EY54" s="145">
        <v>4.17</v>
      </c>
      <c r="EZ54" s="145">
        <v>4.1900000000000004</v>
      </c>
      <c r="FA54" s="145">
        <v>4.28</v>
      </c>
      <c r="FB54" s="41">
        <v>4.26</v>
      </c>
      <c r="FC54" s="41">
        <v>1</v>
      </c>
      <c r="FD54" s="41">
        <v>1</v>
      </c>
      <c r="FE54" s="41">
        <v>1</v>
      </c>
      <c r="FF54" s="41">
        <v>1</v>
      </c>
      <c r="FG54" s="41">
        <v>1</v>
      </c>
      <c r="FH54" s="41">
        <v>1</v>
      </c>
      <c r="FI54" s="41">
        <v>1</v>
      </c>
      <c r="FJ54" s="41">
        <v>1</v>
      </c>
      <c r="FK54" s="41">
        <v>1</v>
      </c>
      <c r="FL54" s="41">
        <v>1</v>
      </c>
      <c r="FM54" s="41">
        <v>1</v>
      </c>
      <c r="FN54" s="41">
        <v>1</v>
      </c>
      <c r="FO54" s="41">
        <v>1</v>
      </c>
      <c r="FP54" s="41">
        <v>1</v>
      </c>
      <c r="FQ54" s="41">
        <v>1</v>
      </c>
      <c r="FR54" s="41">
        <v>1</v>
      </c>
      <c r="FS54" s="41">
        <v>1</v>
      </c>
      <c r="FT54" s="41">
        <v>1</v>
      </c>
      <c r="FU54" s="41">
        <v>1</v>
      </c>
      <c r="FV54" s="41">
        <v>1</v>
      </c>
      <c r="FW54" s="41">
        <v>1</v>
      </c>
      <c r="FX54" s="41">
        <v>1</v>
      </c>
      <c r="FY54" s="41">
        <v>1</v>
      </c>
      <c r="FZ54" s="41">
        <v>1</v>
      </c>
      <c r="GB54" s="145">
        <f t="shared" si="180"/>
        <v>1</v>
      </c>
      <c r="GC54" s="145">
        <v>8.69</v>
      </c>
      <c r="GD54" s="145">
        <v>8.92</v>
      </c>
      <c r="GE54" s="145">
        <v>8.92</v>
      </c>
      <c r="GF54" s="145">
        <v>8.9600000000000009</v>
      </c>
      <c r="GG54" s="145">
        <v>9.15</v>
      </c>
      <c r="GH54" s="41">
        <v>9.11</v>
      </c>
      <c r="GI54" s="41">
        <v>1</v>
      </c>
      <c r="GJ54" s="41">
        <v>1</v>
      </c>
      <c r="GK54" s="41">
        <v>1</v>
      </c>
      <c r="GL54" s="41">
        <v>1</v>
      </c>
      <c r="GM54" s="41">
        <v>1</v>
      </c>
      <c r="GN54" s="41">
        <v>1</v>
      </c>
      <c r="GO54" s="41">
        <v>1</v>
      </c>
      <c r="GP54" s="41">
        <v>1</v>
      </c>
      <c r="GQ54" s="41">
        <v>1</v>
      </c>
      <c r="GR54" s="41">
        <v>1</v>
      </c>
      <c r="GS54" s="41">
        <v>1</v>
      </c>
      <c r="GT54" s="41">
        <v>1</v>
      </c>
      <c r="GU54" s="41">
        <v>1</v>
      </c>
      <c r="GV54" s="41">
        <v>1</v>
      </c>
      <c r="GW54" s="41">
        <v>1</v>
      </c>
      <c r="GX54" s="41">
        <v>1</v>
      </c>
      <c r="GY54" s="41">
        <v>1</v>
      </c>
      <c r="GZ54" s="41">
        <v>1</v>
      </c>
      <c r="HA54" s="41">
        <v>1</v>
      </c>
      <c r="HB54" s="41">
        <v>1</v>
      </c>
      <c r="HC54" s="41">
        <v>1</v>
      </c>
      <c r="HD54" s="41">
        <v>1</v>
      </c>
      <c r="HE54" s="41">
        <v>1</v>
      </c>
      <c r="HF54" s="41">
        <v>1</v>
      </c>
      <c r="HH54" s="373">
        <v>1</v>
      </c>
      <c r="HI54" s="218">
        <v>1.0900000000000001</v>
      </c>
      <c r="HJ54" s="229">
        <v>1.0900000000000001</v>
      </c>
      <c r="HK54" s="229">
        <v>1.0900000000000001</v>
      </c>
      <c r="HM54" s="373">
        <f t="shared" si="173"/>
        <v>7</v>
      </c>
      <c r="HN54" s="219">
        <v>0.995</v>
      </c>
      <c r="HO54" s="219">
        <v>1</v>
      </c>
      <c r="HP54" s="219">
        <v>1.024</v>
      </c>
      <c r="HQ54" s="219">
        <v>1.0309999999999999</v>
      </c>
      <c r="HR54" s="219">
        <v>1.0449999999999999</v>
      </c>
      <c r="HS54" s="219">
        <v>1.0429999999999999</v>
      </c>
      <c r="HT54" s="219">
        <v>1.0589999999999999</v>
      </c>
    </row>
    <row r="55" spans="1:228" ht="12.75" hidden="1" customHeight="1" x14ac:dyDescent="0.2">
      <c r="A55" s="373">
        <f t="shared" si="172"/>
        <v>51</v>
      </c>
      <c r="B55" s="149" t="s">
        <v>138</v>
      </c>
      <c r="C55" s="150">
        <v>1.014</v>
      </c>
      <c r="D55" s="150">
        <v>0.99199999999999999</v>
      </c>
      <c r="E55" s="150">
        <v>1.0489999999999999</v>
      </c>
      <c r="F55" s="150">
        <v>1.151</v>
      </c>
      <c r="G55" s="150"/>
      <c r="H55" s="226">
        <f ca="1">OFFSET($HH55,0,'Расчет стоимости'!$M$10,1,1)</f>
        <v>1</v>
      </c>
      <c r="I55" s="150">
        <v>1</v>
      </c>
      <c r="J55" s="150">
        <v>1</v>
      </c>
      <c r="K55" s="149">
        <v>1</v>
      </c>
      <c r="L55" s="149">
        <v>1</v>
      </c>
      <c r="M55" s="372">
        <v>3.2000000000000001E-2</v>
      </c>
      <c r="N55" s="145">
        <v>2.8999999999999998E-2</v>
      </c>
      <c r="O55" s="145">
        <v>1.3000000000000001E-2</v>
      </c>
      <c r="P55" s="145">
        <v>0.04</v>
      </c>
      <c r="Q55" s="145">
        <v>3.0000000000000001E-3</v>
      </c>
      <c r="R55" s="152" t="s">
        <v>236</v>
      </c>
      <c r="T55" s="225">
        <f t="shared" si="181"/>
        <v>1</v>
      </c>
      <c r="U55" s="225">
        <f t="shared" si="181"/>
        <v>1</v>
      </c>
      <c r="V55" s="225">
        <f t="shared" si="181"/>
        <v>1</v>
      </c>
      <c r="W55" s="225">
        <f t="shared" si="181"/>
        <v>1</v>
      </c>
      <c r="X55" s="145">
        <f t="shared" si="175"/>
        <v>1</v>
      </c>
      <c r="Y55" s="145">
        <v>5.72</v>
      </c>
      <c r="Z55" s="145">
        <v>5.87</v>
      </c>
      <c r="AA55" s="145">
        <v>5.87</v>
      </c>
      <c r="AB55" s="145">
        <v>5.89</v>
      </c>
      <c r="AC55" s="145">
        <v>6.01</v>
      </c>
      <c r="AD55" s="41">
        <v>5.99</v>
      </c>
      <c r="AE55" s="41">
        <v>1</v>
      </c>
      <c r="AF55" s="41">
        <v>1</v>
      </c>
      <c r="AG55" s="41">
        <v>1</v>
      </c>
      <c r="AH55" s="41">
        <v>1</v>
      </c>
      <c r="AI55" s="41">
        <v>1</v>
      </c>
      <c r="AJ55" s="41">
        <v>1</v>
      </c>
      <c r="AK55" s="41">
        <v>1</v>
      </c>
      <c r="AL55" s="41">
        <v>1</v>
      </c>
      <c r="AM55" s="41">
        <v>1</v>
      </c>
      <c r="AN55" s="41">
        <v>1</v>
      </c>
      <c r="AO55" s="41">
        <v>1</v>
      </c>
      <c r="AP55" s="41">
        <v>1</v>
      </c>
      <c r="AQ55" s="41">
        <v>1</v>
      </c>
      <c r="AR55" s="41">
        <v>1</v>
      </c>
      <c r="AS55" s="41">
        <v>1</v>
      </c>
      <c r="AT55" s="41">
        <v>1</v>
      </c>
      <c r="AU55" s="41">
        <v>1</v>
      </c>
      <c r="AV55" s="41">
        <v>1</v>
      </c>
      <c r="AW55" s="41">
        <v>1</v>
      </c>
      <c r="AX55" s="41">
        <v>1</v>
      </c>
      <c r="AY55" s="41">
        <v>1</v>
      </c>
      <c r="AZ55" s="41">
        <v>1</v>
      </c>
      <c r="BA55" s="41">
        <v>1</v>
      </c>
      <c r="BB55" s="41">
        <v>1</v>
      </c>
      <c r="BD55" s="145">
        <f t="shared" si="176"/>
        <v>1</v>
      </c>
      <c r="BE55" s="145">
        <v>4.5199999999999996</v>
      </c>
      <c r="BF55" s="145">
        <v>4.5199999999999996</v>
      </c>
      <c r="BG55" s="145">
        <v>4.5199999999999996</v>
      </c>
      <c r="BH55" s="145">
        <v>4.54</v>
      </c>
      <c r="BI55" s="145">
        <v>4.57</v>
      </c>
      <c r="BJ55" s="41">
        <v>4.55</v>
      </c>
      <c r="BK55" s="41">
        <v>1</v>
      </c>
      <c r="BL55" s="41">
        <v>1</v>
      </c>
      <c r="BM55" s="41">
        <v>1</v>
      </c>
      <c r="BN55" s="41">
        <v>1</v>
      </c>
      <c r="BO55" s="41">
        <v>1</v>
      </c>
      <c r="BP55" s="41">
        <v>1</v>
      </c>
      <c r="BQ55" s="41">
        <v>1</v>
      </c>
      <c r="BR55" s="41">
        <v>1</v>
      </c>
      <c r="BS55" s="41">
        <v>1</v>
      </c>
      <c r="BT55" s="41">
        <v>1</v>
      </c>
      <c r="BU55" s="41">
        <v>1</v>
      </c>
      <c r="BV55" s="41">
        <v>1</v>
      </c>
      <c r="BW55" s="41">
        <v>1</v>
      </c>
      <c r="BX55" s="41">
        <v>1</v>
      </c>
      <c r="BY55" s="41">
        <v>1</v>
      </c>
      <c r="BZ55" s="41">
        <v>1</v>
      </c>
      <c r="CA55" s="41">
        <v>1</v>
      </c>
      <c r="CB55" s="41">
        <v>1</v>
      </c>
      <c r="CC55" s="41">
        <v>1</v>
      </c>
      <c r="CD55" s="41">
        <v>1</v>
      </c>
      <c r="CE55" s="41">
        <v>1</v>
      </c>
      <c r="CF55" s="41">
        <v>1</v>
      </c>
      <c r="CG55" s="41">
        <v>1</v>
      </c>
      <c r="CH55" s="41">
        <v>1</v>
      </c>
      <c r="CJ55" s="145">
        <f t="shared" si="177"/>
        <v>1</v>
      </c>
      <c r="CK55" s="145">
        <v>4.78</v>
      </c>
      <c r="CL55" s="145">
        <v>4.75</v>
      </c>
      <c r="CM55" s="145">
        <v>4.75</v>
      </c>
      <c r="CN55" s="145">
        <v>4.75</v>
      </c>
      <c r="CO55" s="145">
        <v>4.7699999999999996</v>
      </c>
      <c r="CP55" s="41">
        <v>4.75</v>
      </c>
      <c r="CQ55" s="41">
        <v>1</v>
      </c>
      <c r="CR55" s="41">
        <v>1</v>
      </c>
      <c r="CS55" s="41">
        <v>1</v>
      </c>
      <c r="CT55" s="41">
        <v>1</v>
      </c>
      <c r="CU55" s="41">
        <v>1</v>
      </c>
      <c r="CV55" s="41">
        <v>1</v>
      </c>
      <c r="CW55" s="41">
        <v>1</v>
      </c>
      <c r="CX55" s="41">
        <v>1</v>
      </c>
      <c r="CY55" s="41">
        <v>1</v>
      </c>
      <c r="CZ55" s="41">
        <v>1</v>
      </c>
      <c r="DA55" s="41">
        <v>1</v>
      </c>
      <c r="DB55" s="41">
        <v>1</v>
      </c>
      <c r="DC55" s="41">
        <v>1</v>
      </c>
      <c r="DD55" s="41">
        <v>1</v>
      </c>
      <c r="DE55" s="41">
        <v>1</v>
      </c>
      <c r="DF55" s="41">
        <v>1</v>
      </c>
      <c r="DG55" s="41">
        <v>1</v>
      </c>
      <c r="DH55" s="41">
        <v>1</v>
      </c>
      <c r="DI55" s="41">
        <v>1</v>
      </c>
      <c r="DJ55" s="41">
        <v>1</v>
      </c>
      <c r="DK55" s="41">
        <v>1</v>
      </c>
      <c r="DL55" s="41">
        <v>1</v>
      </c>
      <c r="DM55" s="41">
        <v>1</v>
      </c>
      <c r="DN55" s="41">
        <v>1</v>
      </c>
      <c r="DP55" s="145">
        <f t="shared" si="178"/>
        <v>1</v>
      </c>
      <c r="DQ55" s="145">
        <v>4.93</v>
      </c>
      <c r="DR55" s="145">
        <v>4.9800000000000004</v>
      </c>
      <c r="DS55" s="145">
        <v>4.9800000000000004</v>
      </c>
      <c r="DT55" s="145">
        <v>5</v>
      </c>
      <c r="DU55" s="145">
        <v>5.1100000000000003</v>
      </c>
      <c r="DV55" s="41">
        <v>5.09</v>
      </c>
      <c r="DW55" s="41">
        <v>1</v>
      </c>
      <c r="DX55" s="41">
        <v>1</v>
      </c>
      <c r="DY55" s="41">
        <v>1</v>
      </c>
      <c r="DZ55" s="41">
        <v>1</v>
      </c>
      <c r="EA55" s="41">
        <v>1</v>
      </c>
      <c r="EB55" s="41">
        <v>1</v>
      </c>
      <c r="EC55" s="41">
        <v>1</v>
      </c>
      <c r="ED55" s="41">
        <v>1</v>
      </c>
      <c r="EE55" s="41">
        <v>1</v>
      </c>
      <c r="EF55" s="41">
        <v>1</v>
      </c>
      <c r="EG55" s="41">
        <v>1</v>
      </c>
      <c r="EH55" s="41">
        <v>1</v>
      </c>
      <c r="EI55" s="41">
        <v>1</v>
      </c>
      <c r="EJ55" s="41">
        <v>1</v>
      </c>
      <c r="EK55" s="41">
        <v>1</v>
      </c>
      <c r="EL55" s="41">
        <v>1</v>
      </c>
      <c r="EM55" s="41">
        <v>1</v>
      </c>
      <c r="EN55" s="41">
        <v>1</v>
      </c>
      <c r="EO55" s="41">
        <v>1</v>
      </c>
      <c r="EP55" s="41">
        <v>1</v>
      </c>
      <c r="EQ55" s="41">
        <v>1</v>
      </c>
      <c r="ER55" s="41">
        <v>1</v>
      </c>
      <c r="ES55" s="41">
        <v>1</v>
      </c>
      <c r="ET55" s="41">
        <v>1</v>
      </c>
      <c r="EV55" s="145">
        <f t="shared" si="179"/>
        <v>1</v>
      </c>
      <c r="EW55" s="145">
        <v>4.8600000000000003</v>
      </c>
      <c r="EX55" s="145">
        <v>4.9000000000000004</v>
      </c>
      <c r="EY55" s="145">
        <v>4.9000000000000004</v>
      </c>
      <c r="EZ55" s="145">
        <v>4.92</v>
      </c>
      <c r="FA55" s="145">
        <v>5.01</v>
      </c>
      <c r="FB55" s="41">
        <v>4.99</v>
      </c>
      <c r="FC55" s="41">
        <v>1</v>
      </c>
      <c r="FD55" s="41">
        <v>1</v>
      </c>
      <c r="FE55" s="41">
        <v>1</v>
      </c>
      <c r="FF55" s="41">
        <v>1</v>
      </c>
      <c r="FG55" s="41">
        <v>1</v>
      </c>
      <c r="FH55" s="41">
        <v>1</v>
      </c>
      <c r="FI55" s="41">
        <v>1</v>
      </c>
      <c r="FJ55" s="41">
        <v>1</v>
      </c>
      <c r="FK55" s="41">
        <v>1</v>
      </c>
      <c r="FL55" s="41">
        <v>1</v>
      </c>
      <c r="FM55" s="41">
        <v>1</v>
      </c>
      <c r="FN55" s="41">
        <v>1</v>
      </c>
      <c r="FO55" s="41">
        <v>1</v>
      </c>
      <c r="FP55" s="41">
        <v>1</v>
      </c>
      <c r="FQ55" s="41">
        <v>1</v>
      </c>
      <c r="FR55" s="41">
        <v>1</v>
      </c>
      <c r="FS55" s="41">
        <v>1</v>
      </c>
      <c r="FT55" s="41">
        <v>1</v>
      </c>
      <c r="FU55" s="41">
        <v>1</v>
      </c>
      <c r="FV55" s="41">
        <v>1</v>
      </c>
      <c r="FW55" s="41">
        <v>1</v>
      </c>
      <c r="FX55" s="41">
        <v>1</v>
      </c>
      <c r="FY55" s="41">
        <v>1</v>
      </c>
      <c r="FZ55" s="41">
        <v>1</v>
      </c>
      <c r="GB55" s="145">
        <f t="shared" si="180"/>
        <v>1</v>
      </c>
      <c r="GC55" s="145">
        <v>10.66</v>
      </c>
      <c r="GD55" s="145">
        <v>10.94</v>
      </c>
      <c r="GE55" s="145">
        <v>10.94</v>
      </c>
      <c r="GF55" s="145">
        <v>10.98</v>
      </c>
      <c r="GG55" s="145">
        <v>11.21</v>
      </c>
      <c r="GH55" s="41">
        <v>11.17</v>
      </c>
      <c r="GI55" s="41">
        <v>1</v>
      </c>
      <c r="GJ55" s="41">
        <v>1</v>
      </c>
      <c r="GK55" s="41">
        <v>1</v>
      </c>
      <c r="GL55" s="41">
        <v>1</v>
      </c>
      <c r="GM55" s="41">
        <v>1</v>
      </c>
      <c r="GN55" s="41">
        <v>1</v>
      </c>
      <c r="GO55" s="41">
        <v>1</v>
      </c>
      <c r="GP55" s="41">
        <v>1</v>
      </c>
      <c r="GQ55" s="41">
        <v>1</v>
      </c>
      <c r="GR55" s="41">
        <v>1</v>
      </c>
      <c r="GS55" s="41">
        <v>1</v>
      </c>
      <c r="GT55" s="41">
        <v>1</v>
      </c>
      <c r="GU55" s="41">
        <v>1</v>
      </c>
      <c r="GV55" s="41">
        <v>1</v>
      </c>
      <c r="GW55" s="41">
        <v>1</v>
      </c>
      <c r="GX55" s="41">
        <v>1</v>
      </c>
      <c r="GY55" s="41">
        <v>1</v>
      </c>
      <c r="GZ55" s="41">
        <v>1</v>
      </c>
      <c r="HA55" s="41">
        <v>1</v>
      </c>
      <c r="HB55" s="41">
        <v>1</v>
      </c>
      <c r="HC55" s="41">
        <v>1</v>
      </c>
      <c r="HD55" s="41">
        <v>1</v>
      </c>
      <c r="HE55" s="41">
        <v>1</v>
      </c>
      <c r="HF55" s="41">
        <v>1</v>
      </c>
      <c r="HH55" s="373">
        <v>1</v>
      </c>
      <c r="HI55" s="218">
        <v>1</v>
      </c>
      <c r="HJ55" s="229">
        <v>1</v>
      </c>
      <c r="HK55" s="229">
        <v>1</v>
      </c>
      <c r="HM55" s="373">
        <f t="shared" si="173"/>
        <v>1</v>
      </c>
      <c r="HN55" s="145">
        <v>1</v>
      </c>
    </row>
    <row r="56" spans="1:228" ht="12.75" hidden="1" customHeight="1" x14ac:dyDescent="0.2">
      <c r="A56" s="373">
        <f t="shared" si="172"/>
        <v>52</v>
      </c>
      <c r="B56" s="149" t="s">
        <v>162</v>
      </c>
      <c r="C56" s="150">
        <v>1.117</v>
      </c>
      <c r="D56" s="150">
        <v>1.135</v>
      </c>
      <c r="E56" s="150">
        <v>1.04</v>
      </c>
      <c r="F56" s="150">
        <v>1.1679999999999999</v>
      </c>
      <c r="G56" s="150"/>
      <c r="H56" s="226">
        <f ca="1">OFFSET($HH56,0,'Расчет стоимости'!$M$10,1,1)</f>
        <v>1.0900000000000001</v>
      </c>
      <c r="I56" s="150">
        <v>1</v>
      </c>
      <c r="J56" s="150">
        <v>1</v>
      </c>
      <c r="K56" s="149">
        <v>1</v>
      </c>
      <c r="L56" s="149">
        <v>1</v>
      </c>
      <c r="M56" s="372">
        <v>3.2000000000000001E-2</v>
      </c>
      <c r="N56" s="145">
        <v>2.8999999999999998E-2</v>
      </c>
      <c r="O56" s="145">
        <v>1.3000000000000001E-2</v>
      </c>
      <c r="P56" s="145">
        <v>0.04</v>
      </c>
      <c r="Q56" s="145">
        <v>3.0000000000000001E-3</v>
      </c>
      <c r="R56" s="152" t="s">
        <v>236</v>
      </c>
      <c r="T56" s="225">
        <f t="shared" si="181"/>
        <v>1</v>
      </c>
      <c r="U56" s="225">
        <f t="shared" si="181"/>
        <v>1</v>
      </c>
      <c r="V56" s="225">
        <f t="shared" si="181"/>
        <v>1</v>
      </c>
      <c r="W56" s="225">
        <f t="shared" si="181"/>
        <v>1</v>
      </c>
      <c r="X56" s="145">
        <f t="shared" si="175"/>
        <v>1</v>
      </c>
      <c r="Y56" s="145">
        <v>5.3</v>
      </c>
      <c r="Z56" s="145">
        <v>5.43</v>
      </c>
      <c r="AA56" s="145">
        <v>5.43</v>
      </c>
      <c r="AB56" s="145">
        <v>5.45</v>
      </c>
      <c r="AC56" s="145">
        <v>5.56</v>
      </c>
      <c r="AD56" s="41">
        <v>5.54</v>
      </c>
      <c r="AE56" s="41">
        <v>1</v>
      </c>
      <c r="AF56" s="41">
        <v>1</v>
      </c>
      <c r="AG56" s="41">
        <v>1</v>
      </c>
      <c r="AH56" s="41">
        <v>1</v>
      </c>
      <c r="AI56" s="41">
        <v>1</v>
      </c>
      <c r="AJ56" s="41">
        <v>1</v>
      </c>
      <c r="AK56" s="41">
        <v>1</v>
      </c>
      <c r="AL56" s="41">
        <v>1</v>
      </c>
      <c r="AM56" s="41">
        <v>1</v>
      </c>
      <c r="AN56" s="41">
        <v>1</v>
      </c>
      <c r="AO56" s="41">
        <v>1</v>
      </c>
      <c r="AP56" s="41">
        <v>1</v>
      </c>
      <c r="AQ56" s="41">
        <v>1</v>
      </c>
      <c r="AR56" s="41">
        <v>1</v>
      </c>
      <c r="AS56" s="41">
        <v>1</v>
      </c>
      <c r="AT56" s="41">
        <v>1</v>
      </c>
      <c r="AU56" s="41">
        <v>1</v>
      </c>
      <c r="AV56" s="41">
        <v>1</v>
      </c>
      <c r="AW56" s="41">
        <v>1</v>
      </c>
      <c r="AX56" s="41">
        <v>1</v>
      </c>
      <c r="AY56" s="41">
        <v>1</v>
      </c>
      <c r="AZ56" s="41">
        <v>1</v>
      </c>
      <c r="BA56" s="41">
        <v>1</v>
      </c>
      <c r="BB56" s="41">
        <v>1</v>
      </c>
      <c r="BD56" s="145">
        <f t="shared" si="176"/>
        <v>1</v>
      </c>
      <c r="BE56" s="145">
        <v>4.04</v>
      </c>
      <c r="BF56" s="145">
        <v>4.09</v>
      </c>
      <c r="BG56" s="145">
        <v>4.09</v>
      </c>
      <c r="BH56" s="145">
        <v>4.1100000000000003</v>
      </c>
      <c r="BI56" s="145">
        <v>4.2</v>
      </c>
      <c r="BJ56" s="41">
        <v>4.18</v>
      </c>
      <c r="BK56" s="41">
        <v>1</v>
      </c>
      <c r="BL56" s="41">
        <v>1</v>
      </c>
      <c r="BM56" s="41">
        <v>1</v>
      </c>
      <c r="BN56" s="41">
        <v>1</v>
      </c>
      <c r="BO56" s="41">
        <v>1</v>
      </c>
      <c r="BP56" s="41">
        <v>1</v>
      </c>
      <c r="BQ56" s="41">
        <v>1</v>
      </c>
      <c r="BR56" s="41">
        <v>1</v>
      </c>
      <c r="BS56" s="41">
        <v>1</v>
      </c>
      <c r="BT56" s="41">
        <v>1</v>
      </c>
      <c r="BU56" s="41">
        <v>1</v>
      </c>
      <c r="BV56" s="41">
        <v>1</v>
      </c>
      <c r="BW56" s="41">
        <v>1</v>
      </c>
      <c r="BX56" s="41">
        <v>1</v>
      </c>
      <c r="BY56" s="41">
        <v>1</v>
      </c>
      <c r="BZ56" s="41">
        <v>1</v>
      </c>
      <c r="CA56" s="41">
        <v>1</v>
      </c>
      <c r="CB56" s="41">
        <v>1</v>
      </c>
      <c r="CC56" s="41">
        <v>1</v>
      </c>
      <c r="CD56" s="41">
        <v>1</v>
      </c>
      <c r="CE56" s="41">
        <v>1</v>
      </c>
      <c r="CF56" s="41">
        <v>1</v>
      </c>
      <c r="CG56" s="41">
        <v>1</v>
      </c>
      <c r="CH56" s="41">
        <v>1</v>
      </c>
      <c r="CJ56" s="145">
        <f t="shared" si="177"/>
        <v>1</v>
      </c>
      <c r="CK56" s="145">
        <v>4.42</v>
      </c>
      <c r="CL56" s="145">
        <v>4.45</v>
      </c>
      <c r="CM56" s="145">
        <v>4.45</v>
      </c>
      <c r="CN56" s="145">
        <v>4.47</v>
      </c>
      <c r="CO56" s="145">
        <v>4.5599999999999996</v>
      </c>
      <c r="CP56" s="41">
        <v>4.54</v>
      </c>
      <c r="CQ56" s="41">
        <v>1</v>
      </c>
      <c r="CR56" s="41">
        <v>1</v>
      </c>
      <c r="CS56" s="41">
        <v>1</v>
      </c>
      <c r="CT56" s="41">
        <v>1</v>
      </c>
      <c r="CU56" s="41">
        <v>1</v>
      </c>
      <c r="CV56" s="41">
        <v>1</v>
      </c>
      <c r="CW56" s="41">
        <v>1</v>
      </c>
      <c r="CX56" s="41">
        <v>1</v>
      </c>
      <c r="CY56" s="41">
        <v>1</v>
      </c>
      <c r="CZ56" s="41">
        <v>1</v>
      </c>
      <c r="DA56" s="41">
        <v>1</v>
      </c>
      <c r="DB56" s="41">
        <v>1</v>
      </c>
      <c r="DC56" s="41">
        <v>1</v>
      </c>
      <c r="DD56" s="41">
        <v>1</v>
      </c>
      <c r="DE56" s="41">
        <v>1</v>
      </c>
      <c r="DF56" s="41">
        <v>1</v>
      </c>
      <c r="DG56" s="41">
        <v>1</v>
      </c>
      <c r="DH56" s="41">
        <v>1</v>
      </c>
      <c r="DI56" s="41">
        <v>1</v>
      </c>
      <c r="DJ56" s="41">
        <v>1</v>
      </c>
      <c r="DK56" s="41">
        <v>1</v>
      </c>
      <c r="DL56" s="41">
        <v>1</v>
      </c>
      <c r="DM56" s="41">
        <v>1</v>
      </c>
      <c r="DN56" s="41">
        <v>1</v>
      </c>
      <c r="DP56" s="145">
        <f t="shared" si="178"/>
        <v>1</v>
      </c>
      <c r="DQ56" s="145">
        <v>4.54</v>
      </c>
      <c r="DR56" s="145">
        <v>4.6500000000000004</v>
      </c>
      <c r="DS56" s="145">
        <v>4.6500000000000004</v>
      </c>
      <c r="DT56" s="145">
        <v>4.67</v>
      </c>
      <c r="DU56" s="145">
        <v>4.7699999999999996</v>
      </c>
      <c r="DV56" s="41">
        <v>4.75</v>
      </c>
      <c r="DW56" s="41">
        <v>1</v>
      </c>
      <c r="DX56" s="41">
        <v>1</v>
      </c>
      <c r="DY56" s="41">
        <v>1</v>
      </c>
      <c r="DZ56" s="41">
        <v>1</v>
      </c>
      <c r="EA56" s="41">
        <v>1</v>
      </c>
      <c r="EB56" s="41">
        <v>1</v>
      </c>
      <c r="EC56" s="41">
        <v>1</v>
      </c>
      <c r="ED56" s="41">
        <v>1</v>
      </c>
      <c r="EE56" s="41">
        <v>1</v>
      </c>
      <c r="EF56" s="41">
        <v>1</v>
      </c>
      <c r="EG56" s="41">
        <v>1</v>
      </c>
      <c r="EH56" s="41">
        <v>1</v>
      </c>
      <c r="EI56" s="41">
        <v>1</v>
      </c>
      <c r="EJ56" s="41">
        <v>1</v>
      </c>
      <c r="EK56" s="41">
        <v>1</v>
      </c>
      <c r="EL56" s="41">
        <v>1</v>
      </c>
      <c r="EM56" s="41">
        <v>1</v>
      </c>
      <c r="EN56" s="41">
        <v>1</v>
      </c>
      <c r="EO56" s="41">
        <v>1</v>
      </c>
      <c r="EP56" s="41">
        <v>1</v>
      </c>
      <c r="EQ56" s="41">
        <v>1</v>
      </c>
      <c r="ER56" s="41">
        <v>1</v>
      </c>
      <c r="ES56" s="41">
        <v>1</v>
      </c>
      <c r="ET56" s="41">
        <v>1</v>
      </c>
      <c r="EV56" s="145">
        <f t="shared" si="179"/>
        <v>1</v>
      </c>
      <c r="EW56" s="145">
        <v>4.72</v>
      </c>
      <c r="EX56" s="145">
        <v>4.82</v>
      </c>
      <c r="EY56" s="145">
        <v>4.82</v>
      </c>
      <c r="EZ56" s="145">
        <v>4.84</v>
      </c>
      <c r="FA56" s="145">
        <v>4.9400000000000004</v>
      </c>
      <c r="FB56" s="41">
        <v>4.92</v>
      </c>
      <c r="FC56" s="41">
        <v>1</v>
      </c>
      <c r="FD56" s="41">
        <v>1</v>
      </c>
      <c r="FE56" s="41">
        <v>1</v>
      </c>
      <c r="FF56" s="41">
        <v>1</v>
      </c>
      <c r="FG56" s="41">
        <v>1</v>
      </c>
      <c r="FH56" s="41">
        <v>1</v>
      </c>
      <c r="FI56" s="41">
        <v>1</v>
      </c>
      <c r="FJ56" s="41">
        <v>1</v>
      </c>
      <c r="FK56" s="41">
        <v>1</v>
      </c>
      <c r="FL56" s="41">
        <v>1</v>
      </c>
      <c r="FM56" s="41">
        <v>1</v>
      </c>
      <c r="FN56" s="41">
        <v>1</v>
      </c>
      <c r="FO56" s="41">
        <v>1</v>
      </c>
      <c r="FP56" s="41">
        <v>1</v>
      </c>
      <c r="FQ56" s="41">
        <v>1</v>
      </c>
      <c r="FR56" s="41">
        <v>1</v>
      </c>
      <c r="FS56" s="41">
        <v>1</v>
      </c>
      <c r="FT56" s="41">
        <v>1</v>
      </c>
      <c r="FU56" s="41">
        <v>1</v>
      </c>
      <c r="FV56" s="41">
        <v>1</v>
      </c>
      <c r="FW56" s="41">
        <v>1</v>
      </c>
      <c r="FX56" s="41">
        <v>1</v>
      </c>
      <c r="FY56" s="41">
        <v>1</v>
      </c>
      <c r="FZ56" s="41">
        <v>1</v>
      </c>
      <c r="GB56" s="145">
        <f t="shared" si="180"/>
        <v>1</v>
      </c>
      <c r="GC56" s="145">
        <v>9.9600000000000009</v>
      </c>
      <c r="GD56" s="145">
        <v>10.220000000000001</v>
      </c>
      <c r="GE56" s="145">
        <v>10.220000000000001</v>
      </c>
      <c r="GF56" s="145">
        <v>10.26</v>
      </c>
      <c r="GG56" s="145">
        <v>10.48</v>
      </c>
      <c r="GH56" s="41">
        <v>10.44</v>
      </c>
      <c r="GI56" s="41">
        <v>1</v>
      </c>
      <c r="GJ56" s="41">
        <v>1</v>
      </c>
      <c r="GK56" s="41">
        <v>1</v>
      </c>
      <c r="GL56" s="41">
        <v>1</v>
      </c>
      <c r="GM56" s="41">
        <v>1</v>
      </c>
      <c r="GN56" s="41">
        <v>1</v>
      </c>
      <c r="GO56" s="41">
        <v>1</v>
      </c>
      <c r="GP56" s="41">
        <v>1</v>
      </c>
      <c r="GQ56" s="41">
        <v>1</v>
      </c>
      <c r="GR56" s="41">
        <v>1</v>
      </c>
      <c r="GS56" s="41">
        <v>1</v>
      </c>
      <c r="GT56" s="41">
        <v>1</v>
      </c>
      <c r="GU56" s="41">
        <v>1</v>
      </c>
      <c r="GV56" s="41">
        <v>1</v>
      </c>
      <c r="GW56" s="41">
        <v>1</v>
      </c>
      <c r="GX56" s="41">
        <v>1</v>
      </c>
      <c r="GY56" s="41">
        <v>1</v>
      </c>
      <c r="GZ56" s="41">
        <v>1</v>
      </c>
      <c r="HA56" s="41">
        <v>1</v>
      </c>
      <c r="HB56" s="41">
        <v>1</v>
      </c>
      <c r="HC56" s="41">
        <v>1</v>
      </c>
      <c r="HD56" s="41">
        <v>1</v>
      </c>
      <c r="HE56" s="41">
        <v>1</v>
      </c>
      <c r="HF56" s="41">
        <v>1</v>
      </c>
      <c r="HH56" s="373">
        <v>1</v>
      </c>
      <c r="HI56" s="218">
        <v>1.0900000000000001</v>
      </c>
      <c r="HJ56" s="229">
        <v>1.0900000000000001</v>
      </c>
      <c r="HK56" s="229">
        <v>1.0900000000000001</v>
      </c>
      <c r="HM56" s="373">
        <f t="shared" si="173"/>
        <v>1</v>
      </c>
      <c r="HN56" s="145">
        <v>1</v>
      </c>
    </row>
    <row r="57" spans="1:228" ht="12.75" hidden="1" customHeight="1" x14ac:dyDescent="0.2">
      <c r="A57" s="373">
        <f t="shared" si="172"/>
        <v>53</v>
      </c>
      <c r="B57" s="149" t="s">
        <v>148</v>
      </c>
      <c r="C57" s="150">
        <v>1.1399999999999999</v>
      </c>
      <c r="D57" s="150">
        <v>1.194</v>
      </c>
      <c r="E57" s="150">
        <v>0.97399999999999998</v>
      </c>
      <c r="F57" s="150">
        <v>1.077</v>
      </c>
      <c r="G57" s="150"/>
      <c r="H57" s="226">
        <f ca="1">OFFSET($HH57,0,'Расчет стоимости'!$M$10,1,1)</f>
        <v>1</v>
      </c>
      <c r="I57" s="150">
        <v>1</v>
      </c>
      <c r="J57" s="150">
        <v>1</v>
      </c>
      <c r="K57" s="149">
        <v>1</v>
      </c>
      <c r="L57" s="149">
        <v>1</v>
      </c>
      <c r="M57" s="372">
        <v>3.2000000000000001E-2</v>
      </c>
      <c r="N57" s="145">
        <v>2.8999999999999998E-2</v>
      </c>
      <c r="O57" s="145">
        <v>1.3000000000000001E-2</v>
      </c>
      <c r="P57" s="145">
        <v>0.04</v>
      </c>
      <c r="Q57" s="145">
        <v>3.0000000000000001E-3</v>
      </c>
      <c r="R57" s="152" t="s">
        <v>236</v>
      </c>
      <c r="T57" s="225">
        <f t="shared" si="181"/>
        <v>1</v>
      </c>
      <c r="U57" s="225">
        <f t="shared" si="181"/>
        <v>1</v>
      </c>
      <c r="V57" s="225">
        <f t="shared" si="181"/>
        <v>1</v>
      </c>
      <c r="W57" s="225">
        <f t="shared" si="181"/>
        <v>1</v>
      </c>
      <c r="X57" s="145">
        <f t="shared" si="175"/>
        <v>1</v>
      </c>
      <c r="Y57" s="145">
        <v>5.56</v>
      </c>
      <c r="Z57" s="145">
        <v>5.71</v>
      </c>
      <c r="AA57" s="145">
        <v>5.71</v>
      </c>
      <c r="AB57" s="145">
        <v>5.73</v>
      </c>
      <c r="AC57" s="145">
        <v>5.85</v>
      </c>
      <c r="AD57" s="41">
        <v>5.83</v>
      </c>
      <c r="AE57" s="41">
        <v>1</v>
      </c>
      <c r="AF57" s="41">
        <v>1</v>
      </c>
      <c r="AG57" s="41">
        <v>1</v>
      </c>
      <c r="AH57" s="41">
        <v>1</v>
      </c>
      <c r="AI57" s="41">
        <v>1</v>
      </c>
      <c r="AJ57" s="41">
        <v>1</v>
      </c>
      <c r="AK57" s="41">
        <v>1</v>
      </c>
      <c r="AL57" s="41">
        <v>1</v>
      </c>
      <c r="AM57" s="41">
        <v>1</v>
      </c>
      <c r="AN57" s="41">
        <v>1</v>
      </c>
      <c r="AO57" s="41">
        <v>1</v>
      </c>
      <c r="AP57" s="41">
        <v>1</v>
      </c>
      <c r="AQ57" s="41">
        <v>1</v>
      </c>
      <c r="AR57" s="41">
        <v>1</v>
      </c>
      <c r="AS57" s="41">
        <v>1</v>
      </c>
      <c r="AT57" s="41">
        <v>1</v>
      </c>
      <c r="AU57" s="41">
        <v>1</v>
      </c>
      <c r="AV57" s="41">
        <v>1</v>
      </c>
      <c r="AW57" s="41">
        <v>1</v>
      </c>
      <c r="AX57" s="41">
        <v>1</v>
      </c>
      <c r="AY57" s="41">
        <v>1</v>
      </c>
      <c r="AZ57" s="41">
        <v>1</v>
      </c>
      <c r="BA57" s="41">
        <v>1</v>
      </c>
      <c r="BB57" s="41">
        <v>1</v>
      </c>
      <c r="BD57" s="145">
        <f t="shared" si="176"/>
        <v>1</v>
      </c>
      <c r="BE57" s="145">
        <v>4.34</v>
      </c>
      <c r="BF57" s="145">
        <v>4.32</v>
      </c>
      <c r="BG57" s="145">
        <v>4.32</v>
      </c>
      <c r="BH57" s="145">
        <v>4.26</v>
      </c>
      <c r="BI57" s="145">
        <v>4.3499999999999996</v>
      </c>
      <c r="BJ57" s="41">
        <v>4.29</v>
      </c>
      <c r="BK57" s="41">
        <v>1</v>
      </c>
      <c r="BL57" s="41">
        <v>1</v>
      </c>
      <c r="BM57" s="41">
        <v>1</v>
      </c>
      <c r="BN57" s="41">
        <v>1</v>
      </c>
      <c r="BO57" s="41">
        <v>1</v>
      </c>
      <c r="BP57" s="41">
        <v>1</v>
      </c>
      <c r="BQ57" s="41">
        <v>1</v>
      </c>
      <c r="BR57" s="41">
        <v>1</v>
      </c>
      <c r="BS57" s="41">
        <v>1</v>
      </c>
      <c r="BT57" s="41">
        <v>1</v>
      </c>
      <c r="BU57" s="41">
        <v>1</v>
      </c>
      <c r="BV57" s="41">
        <v>1</v>
      </c>
      <c r="BW57" s="41">
        <v>1</v>
      </c>
      <c r="BX57" s="41">
        <v>1</v>
      </c>
      <c r="BY57" s="41">
        <v>1</v>
      </c>
      <c r="BZ57" s="41">
        <v>1</v>
      </c>
      <c r="CA57" s="41">
        <v>1</v>
      </c>
      <c r="CB57" s="41">
        <v>1</v>
      </c>
      <c r="CC57" s="41">
        <v>1</v>
      </c>
      <c r="CD57" s="41">
        <v>1</v>
      </c>
      <c r="CE57" s="41">
        <v>1</v>
      </c>
      <c r="CF57" s="41">
        <v>1</v>
      </c>
      <c r="CG57" s="41">
        <v>1</v>
      </c>
      <c r="CH57" s="41">
        <v>1</v>
      </c>
      <c r="CJ57" s="145">
        <f t="shared" si="177"/>
        <v>1</v>
      </c>
      <c r="CK57" s="145">
        <v>4.1399999999999997</v>
      </c>
      <c r="CL57" s="145">
        <v>4.25</v>
      </c>
      <c r="CM57" s="145">
        <v>4.25</v>
      </c>
      <c r="CN57" s="145">
        <v>4.2699999999999996</v>
      </c>
      <c r="CO57" s="145">
        <v>4.3600000000000003</v>
      </c>
      <c r="CP57" s="41">
        <v>4.34</v>
      </c>
      <c r="CQ57" s="41">
        <v>1</v>
      </c>
      <c r="CR57" s="41">
        <v>1</v>
      </c>
      <c r="CS57" s="41">
        <v>1</v>
      </c>
      <c r="CT57" s="41">
        <v>1</v>
      </c>
      <c r="CU57" s="41">
        <v>1</v>
      </c>
      <c r="CV57" s="41">
        <v>1</v>
      </c>
      <c r="CW57" s="41">
        <v>1</v>
      </c>
      <c r="CX57" s="41">
        <v>1</v>
      </c>
      <c r="CY57" s="41">
        <v>1</v>
      </c>
      <c r="CZ57" s="41">
        <v>1</v>
      </c>
      <c r="DA57" s="41">
        <v>1</v>
      </c>
      <c r="DB57" s="41">
        <v>1</v>
      </c>
      <c r="DC57" s="41">
        <v>1</v>
      </c>
      <c r="DD57" s="41">
        <v>1</v>
      </c>
      <c r="DE57" s="41">
        <v>1</v>
      </c>
      <c r="DF57" s="41">
        <v>1</v>
      </c>
      <c r="DG57" s="41">
        <v>1</v>
      </c>
      <c r="DH57" s="41">
        <v>1</v>
      </c>
      <c r="DI57" s="41">
        <v>1</v>
      </c>
      <c r="DJ57" s="41">
        <v>1</v>
      </c>
      <c r="DK57" s="41">
        <v>1</v>
      </c>
      <c r="DL57" s="41">
        <v>1</v>
      </c>
      <c r="DM57" s="41">
        <v>1</v>
      </c>
      <c r="DN57" s="41">
        <v>1</v>
      </c>
      <c r="DP57" s="145">
        <f t="shared" si="178"/>
        <v>1</v>
      </c>
      <c r="DQ57" s="145">
        <v>4.24</v>
      </c>
      <c r="DR57" s="145">
        <v>4.3499999999999996</v>
      </c>
      <c r="DS57" s="145">
        <v>4.3499999999999996</v>
      </c>
      <c r="DT57" s="145">
        <v>4.37</v>
      </c>
      <c r="DU57" s="145">
        <v>4.46</v>
      </c>
      <c r="DV57" s="41">
        <v>4.4400000000000004</v>
      </c>
      <c r="DW57" s="41">
        <v>1</v>
      </c>
      <c r="DX57" s="41">
        <v>1</v>
      </c>
      <c r="DY57" s="41">
        <v>1</v>
      </c>
      <c r="DZ57" s="41">
        <v>1</v>
      </c>
      <c r="EA57" s="41">
        <v>1</v>
      </c>
      <c r="EB57" s="41">
        <v>1</v>
      </c>
      <c r="EC57" s="41">
        <v>1</v>
      </c>
      <c r="ED57" s="41">
        <v>1</v>
      </c>
      <c r="EE57" s="41">
        <v>1</v>
      </c>
      <c r="EF57" s="41">
        <v>1</v>
      </c>
      <c r="EG57" s="41">
        <v>1</v>
      </c>
      <c r="EH57" s="41">
        <v>1</v>
      </c>
      <c r="EI57" s="41">
        <v>1</v>
      </c>
      <c r="EJ57" s="41">
        <v>1</v>
      </c>
      <c r="EK57" s="41">
        <v>1</v>
      </c>
      <c r="EL57" s="41">
        <v>1</v>
      </c>
      <c r="EM57" s="41">
        <v>1</v>
      </c>
      <c r="EN57" s="41">
        <v>1</v>
      </c>
      <c r="EO57" s="41">
        <v>1</v>
      </c>
      <c r="EP57" s="41">
        <v>1</v>
      </c>
      <c r="EQ57" s="41">
        <v>1</v>
      </c>
      <c r="ER57" s="41">
        <v>1</v>
      </c>
      <c r="ES57" s="41">
        <v>1</v>
      </c>
      <c r="ET57" s="41">
        <v>1</v>
      </c>
      <c r="EV57" s="145">
        <f t="shared" si="179"/>
        <v>1</v>
      </c>
      <c r="EW57" s="145">
        <v>4.03</v>
      </c>
      <c r="EX57" s="145">
        <v>4.13</v>
      </c>
      <c r="EY57" s="145">
        <v>4.12</v>
      </c>
      <c r="EZ57" s="145">
        <v>4.1500000000000004</v>
      </c>
      <c r="FA57" s="145">
        <v>4.24</v>
      </c>
      <c r="FB57" s="41">
        <v>4.22</v>
      </c>
      <c r="FC57" s="41">
        <v>1</v>
      </c>
      <c r="FD57" s="41">
        <v>1</v>
      </c>
      <c r="FE57" s="41">
        <v>1</v>
      </c>
      <c r="FF57" s="41">
        <v>1</v>
      </c>
      <c r="FG57" s="41">
        <v>1</v>
      </c>
      <c r="FH57" s="41">
        <v>1</v>
      </c>
      <c r="FI57" s="41">
        <v>1</v>
      </c>
      <c r="FJ57" s="41">
        <v>1</v>
      </c>
      <c r="FK57" s="41">
        <v>1</v>
      </c>
      <c r="FL57" s="41">
        <v>1</v>
      </c>
      <c r="FM57" s="41">
        <v>1</v>
      </c>
      <c r="FN57" s="41">
        <v>1</v>
      </c>
      <c r="FO57" s="41">
        <v>1</v>
      </c>
      <c r="FP57" s="41">
        <v>1</v>
      </c>
      <c r="FQ57" s="41">
        <v>1</v>
      </c>
      <c r="FR57" s="41">
        <v>1</v>
      </c>
      <c r="FS57" s="41">
        <v>1</v>
      </c>
      <c r="FT57" s="41">
        <v>1</v>
      </c>
      <c r="FU57" s="41">
        <v>1</v>
      </c>
      <c r="FV57" s="41">
        <v>1</v>
      </c>
      <c r="FW57" s="41">
        <v>1</v>
      </c>
      <c r="FX57" s="41">
        <v>1</v>
      </c>
      <c r="FY57" s="41">
        <v>1</v>
      </c>
      <c r="FZ57" s="41">
        <v>1</v>
      </c>
      <c r="GB57" s="145">
        <f t="shared" si="180"/>
        <v>1</v>
      </c>
      <c r="GC57" s="145">
        <v>9.93</v>
      </c>
      <c r="GD57" s="145">
        <v>9.86</v>
      </c>
      <c r="GE57" s="145">
        <v>9.86</v>
      </c>
      <c r="GF57" s="145">
        <v>9.9</v>
      </c>
      <c r="GG57" s="145">
        <v>10.11</v>
      </c>
      <c r="GH57" s="41">
        <v>10.07</v>
      </c>
      <c r="GI57" s="41">
        <v>1</v>
      </c>
      <c r="GJ57" s="41">
        <v>1</v>
      </c>
      <c r="GK57" s="41">
        <v>1</v>
      </c>
      <c r="GL57" s="41">
        <v>1</v>
      </c>
      <c r="GM57" s="41">
        <v>1</v>
      </c>
      <c r="GN57" s="41">
        <v>1</v>
      </c>
      <c r="GO57" s="41">
        <v>1</v>
      </c>
      <c r="GP57" s="41">
        <v>1</v>
      </c>
      <c r="GQ57" s="41">
        <v>1</v>
      </c>
      <c r="GR57" s="41">
        <v>1</v>
      </c>
      <c r="GS57" s="41">
        <v>1</v>
      </c>
      <c r="GT57" s="41">
        <v>1</v>
      </c>
      <c r="GU57" s="41">
        <v>1</v>
      </c>
      <c r="GV57" s="41">
        <v>1</v>
      </c>
      <c r="GW57" s="41">
        <v>1</v>
      </c>
      <c r="GX57" s="41">
        <v>1</v>
      </c>
      <c r="GY57" s="41">
        <v>1</v>
      </c>
      <c r="GZ57" s="41">
        <v>1</v>
      </c>
      <c r="HA57" s="41">
        <v>1</v>
      </c>
      <c r="HB57" s="41">
        <v>1</v>
      </c>
      <c r="HC57" s="41">
        <v>1</v>
      </c>
      <c r="HD57" s="41">
        <v>1</v>
      </c>
      <c r="HE57" s="41">
        <v>1</v>
      </c>
      <c r="HF57" s="41">
        <v>1</v>
      </c>
      <c r="HH57" s="373">
        <v>1</v>
      </c>
      <c r="HI57" s="218">
        <v>1</v>
      </c>
      <c r="HJ57" s="229">
        <v>1</v>
      </c>
      <c r="HK57" s="229">
        <v>1</v>
      </c>
      <c r="HM57" s="373">
        <f t="shared" si="173"/>
        <v>1</v>
      </c>
      <c r="HN57" s="145">
        <v>1</v>
      </c>
    </row>
    <row r="58" spans="1:228" ht="12.75" hidden="1" customHeight="1" x14ac:dyDescent="0.2">
      <c r="A58" s="373">
        <f t="shared" si="172"/>
        <v>54</v>
      </c>
      <c r="B58" s="149" t="s">
        <v>263</v>
      </c>
      <c r="C58" s="150">
        <v>1.179</v>
      </c>
      <c r="D58" s="150">
        <v>1.111</v>
      </c>
      <c r="E58" s="150">
        <v>1.4219999999999999</v>
      </c>
      <c r="F58" s="150">
        <v>1.1539999999999999</v>
      </c>
      <c r="G58" s="150"/>
      <c r="H58" s="226">
        <f ca="1">OFFSET($HH58,0,'Расчет стоимости'!$M$10,1,1)</f>
        <v>1.1299999999999999</v>
      </c>
      <c r="I58" s="150">
        <v>1</v>
      </c>
      <c r="J58" s="150">
        <v>1</v>
      </c>
      <c r="K58" s="149">
        <v>1</v>
      </c>
      <c r="L58" s="149">
        <v>1</v>
      </c>
      <c r="M58" s="372">
        <v>3.2000000000000001E-2</v>
      </c>
      <c r="N58" s="145">
        <v>2.8999999999999998E-2</v>
      </c>
      <c r="O58" s="145">
        <v>1.3000000000000001E-2</v>
      </c>
      <c r="P58" s="145">
        <v>0.04</v>
      </c>
      <c r="Q58" s="145">
        <v>3.0000000000000001E-3</v>
      </c>
      <c r="R58" s="152" t="s">
        <v>236</v>
      </c>
      <c r="S58" s="145" t="s">
        <v>266</v>
      </c>
      <c r="T58" s="225">
        <f t="shared" si="181"/>
        <v>1</v>
      </c>
      <c r="U58" s="225">
        <f t="shared" si="181"/>
        <v>1</v>
      </c>
      <c r="V58" s="225">
        <f t="shared" si="181"/>
        <v>1</v>
      </c>
      <c r="W58" s="225">
        <f t="shared" si="181"/>
        <v>1</v>
      </c>
      <c r="X58" s="145">
        <f t="shared" si="175"/>
        <v>1</v>
      </c>
      <c r="Y58" s="145">
        <v>5.36</v>
      </c>
      <c r="Z58" s="145">
        <v>5.4</v>
      </c>
      <c r="AA58" s="145">
        <v>5.4</v>
      </c>
      <c r="AB58" s="145">
        <v>5.42</v>
      </c>
      <c r="AC58" s="145">
        <v>5.53</v>
      </c>
      <c r="AD58" s="41">
        <v>5.51</v>
      </c>
      <c r="AE58" s="41">
        <v>1</v>
      </c>
      <c r="AF58" s="41">
        <v>1</v>
      </c>
      <c r="AG58" s="41">
        <v>1</v>
      </c>
      <c r="AH58" s="41">
        <v>1</v>
      </c>
      <c r="AI58" s="41">
        <v>1</v>
      </c>
      <c r="AJ58" s="41">
        <v>1</v>
      </c>
      <c r="AK58" s="41">
        <v>1</v>
      </c>
      <c r="AL58" s="41">
        <v>1</v>
      </c>
      <c r="AM58" s="41">
        <v>1</v>
      </c>
      <c r="AN58" s="41">
        <v>1</v>
      </c>
      <c r="AO58" s="41">
        <v>1</v>
      </c>
      <c r="AP58" s="41">
        <v>1</v>
      </c>
      <c r="AQ58" s="41">
        <v>1</v>
      </c>
      <c r="AR58" s="41">
        <v>1</v>
      </c>
      <c r="AS58" s="41">
        <v>1</v>
      </c>
      <c r="AT58" s="41">
        <v>1</v>
      </c>
      <c r="AU58" s="41">
        <v>1</v>
      </c>
      <c r="AV58" s="41">
        <v>1</v>
      </c>
      <c r="AW58" s="41">
        <v>1</v>
      </c>
      <c r="AX58" s="41">
        <v>1</v>
      </c>
      <c r="AY58" s="41">
        <v>1</v>
      </c>
      <c r="AZ58" s="41">
        <v>1</v>
      </c>
      <c r="BA58" s="41">
        <v>1</v>
      </c>
      <c r="BB58" s="41">
        <v>1</v>
      </c>
      <c r="BD58" s="145">
        <f t="shared" si="176"/>
        <v>1</v>
      </c>
      <c r="BE58" s="145">
        <v>3.3</v>
      </c>
      <c r="BF58" s="145">
        <v>3.36</v>
      </c>
      <c r="BG58" s="145">
        <v>3.36</v>
      </c>
      <c r="BH58" s="145">
        <v>3.37</v>
      </c>
      <c r="BI58" s="145">
        <v>3.44</v>
      </c>
      <c r="BJ58" s="41">
        <v>3.43</v>
      </c>
      <c r="BK58" s="41">
        <v>1</v>
      </c>
      <c r="BL58" s="41">
        <v>1</v>
      </c>
      <c r="BM58" s="41">
        <v>1</v>
      </c>
      <c r="BN58" s="41">
        <v>1</v>
      </c>
      <c r="BO58" s="41">
        <v>1</v>
      </c>
      <c r="BP58" s="41">
        <v>1</v>
      </c>
      <c r="BQ58" s="41">
        <v>1</v>
      </c>
      <c r="BR58" s="41">
        <v>1</v>
      </c>
      <c r="BS58" s="41">
        <v>1</v>
      </c>
      <c r="BT58" s="41">
        <v>1</v>
      </c>
      <c r="BU58" s="41">
        <v>1</v>
      </c>
      <c r="BV58" s="41">
        <v>1</v>
      </c>
      <c r="BW58" s="41">
        <v>1</v>
      </c>
      <c r="BX58" s="41">
        <v>1</v>
      </c>
      <c r="BY58" s="41">
        <v>1</v>
      </c>
      <c r="BZ58" s="41">
        <v>1</v>
      </c>
      <c r="CA58" s="41">
        <v>1</v>
      </c>
      <c r="CB58" s="41">
        <v>1</v>
      </c>
      <c r="CC58" s="41">
        <v>1</v>
      </c>
      <c r="CD58" s="41">
        <v>1</v>
      </c>
      <c r="CE58" s="41">
        <v>1</v>
      </c>
      <c r="CF58" s="41">
        <v>1</v>
      </c>
      <c r="CG58" s="41">
        <v>1</v>
      </c>
      <c r="CH58" s="41">
        <v>1</v>
      </c>
      <c r="CJ58" s="145">
        <f t="shared" si="177"/>
        <v>1</v>
      </c>
      <c r="CK58" s="145">
        <v>4.67</v>
      </c>
      <c r="CL58" s="145">
        <v>4.6500000000000004</v>
      </c>
      <c r="CM58" s="145">
        <v>4.6500000000000004</v>
      </c>
      <c r="CN58" s="145">
        <v>4.67</v>
      </c>
      <c r="CO58" s="145">
        <v>4.7699999999999996</v>
      </c>
      <c r="CP58" s="41">
        <v>4.74</v>
      </c>
      <c r="CQ58" s="41">
        <v>1</v>
      </c>
      <c r="CR58" s="41">
        <v>1</v>
      </c>
      <c r="CS58" s="41">
        <v>1</v>
      </c>
      <c r="CT58" s="41">
        <v>1</v>
      </c>
      <c r="CU58" s="41">
        <v>1</v>
      </c>
      <c r="CV58" s="41">
        <v>1</v>
      </c>
      <c r="CW58" s="41">
        <v>1</v>
      </c>
      <c r="CX58" s="41">
        <v>1</v>
      </c>
      <c r="CY58" s="41">
        <v>1</v>
      </c>
      <c r="CZ58" s="41">
        <v>1</v>
      </c>
      <c r="DA58" s="41">
        <v>1</v>
      </c>
      <c r="DB58" s="41">
        <v>1</v>
      </c>
      <c r="DC58" s="41">
        <v>1</v>
      </c>
      <c r="DD58" s="41">
        <v>1</v>
      </c>
      <c r="DE58" s="41">
        <v>1</v>
      </c>
      <c r="DF58" s="41">
        <v>1</v>
      </c>
      <c r="DG58" s="41">
        <v>1</v>
      </c>
      <c r="DH58" s="41">
        <v>1</v>
      </c>
      <c r="DI58" s="41">
        <v>1</v>
      </c>
      <c r="DJ58" s="41">
        <v>1</v>
      </c>
      <c r="DK58" s="41">
        <v>1</v>
      </c>
      <c r="DL58" s="41">
        <v>1</v>
      </c>
      <c r="DM58" s="41">
        <v>1</v>
      </c>
      <c r="DN58" s="41">
        <v>1</v>
      </c>
      <c r="DP58" s="145">
        <f t="shared" si="178"/>
        <v>1</v>
      </c>
      <c r="DQ58" s="145">
        <v>4.26</v>
      </c>
      <c r="DR58" s="145">
        <v>4.3099999999999996</v>
      </c>
      <c r="DS58" s="145">
        <v>4.3099999999999996</v>
      </c>
      <c r="DT58" s="145">
        <v>4.33</v>
      </c>
      <c r="DU58" s="145">
        <v>4.42</v>
      </c>
      <c r="DV58" s="41">
        <v>4.4000000000000004</v>
      </c>
      <c r="DW58" s="41">
        <v>1</v>
      </c>
      <c r="DX58" s="41">
        <v>1</v>
      </c>
      <c r="DY58" s="41">
        <v>1</v>
      </c>
      <c r="DZ58" s="41">
        <v>1</v>
      </c>
      <c r="EA58" s="41">
        <v>1</v>
      </c>
      <c r="EB58" s="41">
        <v>1</v>
      </c>
      <c r="EC58" s="41">
        <v>1</v>
      </c>
      <c r="ED58" s="41">
        <v>1</v>
      </c>
      <c r="EE58" s="41">
        <v>1</v>
      </c>
      <c r="EF58" s="41">
        <v>1</v>
      </c>
      <c r="EG58" s="41">
        <v>1</v>
      </c>
      <c r="EH58" s="41">
        <v>1</v>
      </c>
      <c r="EI58" s="41">
        <v>1</v>
      </c>
      <c r="EJ58" s="41">
        <v>1</v>
      </c>
      <c r="EK58" s="41">
        <v>1</v>
      </c>
      <c r="EL58" s="41">
        <v>1</v>
      </c>
      <c r="EM58" s="41">
        <v>1</v>
      </c>
      <c r="EN58" s="41">
        <v>1</v>
      </c>
      <c r="EO58" s="41">
        <v>1</v>
      </c>
      <c r="EP58" s="41">
        <v>1</v>
      </c>
      <c r="EQ58" s="41">
        <v>1</v>
      </c>
      <c r="ER58" s="41">
        <v>1</v>
      </c>
      <c r="ES58" s="41">
        <v>1</v>
      </c>
      <c r="ET58" s="41">
        <v>1</v>
      </c>
      <c r="EV58" s="145">
        <f t="shared" si="179"/>
        <v>1</v>
      </c>
      <c r="EW58" s="145">
        <v>5.27</v>
      </c>
      <c r="EX58" s="145">
        <v>5.26</v>
      </c>
      <c r="EY58" s="145">
        <v>5.26</v>
      </c>
      <c r="EZ58" s="145">
        <v>5.28</v>
      </c>
      <c r="FA58" s="145">
        <v>5.39</v>
      </c>
      <c r="FB58" s="41">
        <v>5.37</v>
      </c>
      <c r="FC58" s="41">
        <v>1</v>
      </c>
      <c r="FD58" s="41">
        <v>1</v>
      </c>
      <c r="FE58" s="41">
        <v>1</v>
      </c>
      <c r="FF58" s="41">
        <v>1</v>
      </c>
      <c r="FG58" s="41">
        <v>1</v>
      </c>
      <c r="FH58" s="41">
        <v>1</v>
      </c>
      <c r="FI58" s="41">
        <v>1</v>
      </c>
      <c r="FJ58" s="41">
        <v>1</v>
      </c>
      <c r="FK58" s="41">
        <v>1</v>
      </c>
      <c r="FL58" s="41">
        <v>1</v>
      </c>
      <c r="FM58" s="41">
        <v>1</v>
      </c>
      <c r="FN58" s="41">
        <v>1</v>
      </c>
      <c r="FO58" s="41">
        <v>1</v>
      </c>
      <c r="FP58" s="41">
        <v>1</v>
      </c>
      <c r="FQ58" s="41">
        <v>1</v>
      </c>
      <c r="FR58" s="41">
        <v>1</v>
      </c>
      <c r="FS58" s="41">
        <v>1</v>
      </c>
      <c r="FT58" s="41">
        <v>1</v>
      </c>
      <c r="FU58" s="41">
        <v>1</v>
      </c>
      <c r="FV58" s="41">
        <v>1</v>
      </c>
      <c r="FW58" s="41">
        <v>1</v>
      </c>
      <c r="FX58" s="41">
        <v>1</v>
      </c>
      <c r="FY58" s="41">
        <v>1</v>
      </c>
      <c r="FZ58" s="41">
        <v>1</v>
      </c>
      <c r="GB58" s="145">
        <f t="shared" si="180"/>
        <v>1</v>
      </c>
      <c r="GC58" s="145">
        <v>10.96</v>
      </c>
      <c r="GD58" s="145">
        <v>11.11</v>
      </c>
      <c r="GE58" s="145">
        <v>11.11</v>
      </c>
      <c r="GF58" s="145">
        <v>11.15</v>
      </c>
      <c r="GG58" s="145">
        <v>11.38</v>
      </c>
      <c r="GH58" s="41">
        <v>11.33</v>
      </c>
      <c r="GI58" s="41">
        <v>1</v>
      </c>
      <c r="GJ58" s="41">
        <v>1</v>
      </c>
      <c r="GK58" s="41">
        <v>1</v>
      </c>
      <c r="GL58" s="41">
        <v>1</v>
      </c>
      <c r="GM58" s="41">
        <v>1</v>
      </c>
      <c r="GN58" s="41">
        <v>1</v>
      </c>
      <c r="GO58" s="41">
        <v>1</v>
      </c>
      <c r="GP58" s="41">
        <v>1</v>
      </c>
      <c r="GQ58" s="41">
        <v>1</v>
      </c>
      <c r="GR58" s="41">
        <v>1</v>
      </c>
      <c r="GS58" s="41">
        <v>1</v>
      </c>
      <c r="GT58" s="41">
        <v>1</v>
      </c>
      <c r="GU58" s="41">
        <v>1</v>
      </c>
      <c r="GV58" s="41">
        <v>1</v>
      </c>
      <c r="GW58" s="41">
        <v>1</v>
      </c>
      <c r="GX58" s="41">
        <v>1</v>
      </c>
      <c r="GY58" s="41">
        <v>1</v>
      </c>
      <c r="GZ58" s="41">
        <v>1</v>
      </c>
      <c r="HA58" s="41">
        <v>1</v>
      </c>
      <c r="HB58" s="41">
        <v>1</v>
      </c>
      <c r="HC58" s="41">
        <v>1</v>
      </c>
      <c r="HD58" s="41">
        <v>1</v>
      </c>
      <c r="HE58" s="41">
        <v>1</v>
      </c>
      <c r="HF58" s="41">
        <v>1</v>
      </c>
      <c r="HH58" s="373">
        <v>2</v>
      </c>
      <c r="HI58" s="218">
        <v>1.1200000000000001</v>
      </c>
      <c r="HJ58" s="41">
        <v>1.1299999999999999</v>
      </c>
      <c r="HK58" s="41">
        <v>1.1299999999999999</v>
      </c>
      <c r="HM58" s="373">
        <f t="shared" si="173"/>
        <v>1</v>
      </c>
      <c r="HN58" s="145">
        <v>1</v>
      </c>
    </row>
    <row r="59" spans="1:228" ht="12.75" hidden="1" customHeight="1" x14ac:dyDescent="0.2">
      <c r="A59" s="373">
        <f t="shared" si="172"/>
        <v>55</v>
      </c>
      <c r="B59" s="149" t="s">
        <v>149</v>
      </c>
      <c r="C59" s="150">
        <v>1</v>
      </c>
      <c r="D59" s="150">
        <v>0.89600000000000002</v>
      </c>
      <c r="E59" s="150">
        <v>1.3</v>
      </c>
      <c r="F59" s="150">
        <v>1.2689999999999999</v>
      </c>
      <c r="G59" s="150"/>
      <c r="H59" s="226">
        <f ca="1">OFFSET($HH59,0,'Расчет стоимости'!$M$10,1,1)</f>
        <v>1</v>
      </c>
      <c r="I59" s="150">
        <v>1</v>
      </c>
      <c r="J59" s="150">
        <v>1</v>
      </c>
      <c r="K59" s="149">
        <v>1</v>
      </c>
      <c r="L59" s="149">
        <v>1</v>
      </c>
      <c r="M59" s="372">
        <v>3.2000000000000001E-2</v>
      </c>
      <c r="N59" s="145">
        <v>2.8999999999999998E-2</v>
      </c>
      <c r="O59" s="145">
        <v>1.3000000000000001E-2</v>
      </c>
      <c r="P59" s="145">
        <v>0.04</v>
      </c>
      <c r="Q59" s="145">
        <v>3.0000000000000001E-3</v>
      </c>
      <c r="R59" s="152" t="s">
        <v>236</v>
      </c>
      <c r="T59" s="225">
        <f t="shared" si="181"/>
        <v>1</v>
      </c>
      <c r="U59" s="225">
        <f t="shared" si="181"/>
        <v>1</v>
      </c>
      <c r="V59" s="225">
        <f t="shared" si="181"/>
        <v>1</v>
      </c>
      <c r="W59" s="225">
        <f t="shared" si="181"/>
        <v>1</v>
      </c>
      <c r="X59" s="145">
        <f t="shared" si="175"/>
        <v>1</v>
      </c>
      <c r="Y59" s="145">
        <v>5.85</v>
      </c>
      <c r="Z59" s="145">
        <v>6.01</v>
      </c>
      <c r="AA59" s="145">
        <v>6.01</v>
      </c>
      <c r="AB59" s="145">
        <v>6.03</v>
      </c>
      <c r="AC59" s="145">
        <v>6.16</v>
      </c>
      <c r="AD59" s="41">
        <v>6.14</v>
      </c>
      <c r="AE59" s="41">
        <v>1</v>
      </c>
      <c r="AF59" s="41">
        <v>1</v>
      </c>
      <c r="AG59" s="41">
        <v>1</v>
      </c>
      <c r="AH59" s="41">
        <v>1</v>
      </c>
      <c r="AI59" s="41">
        <v>1</v>
      </c>
      <c r="AJ59" s="41">
        <v>1</v>
      </c>
      <c r="AK59" s="41">
        <v>1</v>
      </c>
      <c r="AL59" s="41">
        <v>1</v>
      </c>
      <c r="AM59" s="41">
        <v>1</v>
      </c>
      <c r="AN59" s="41">
        <v>1</v>
      </c>
      <c r="AO59" s="41">
        <v>1</v>
      </c>
      <c r="AP59" s="41">
        <v>1</v>
      </c>
      <c r="AQ59" s="41">
        <v>1</v>
      </c>
      <c r="AR59" s="41">
        <v>1</v>
      </c>
      <c r="AS59" s="41">
        <v>1</v>
      </c>
      <c r="AT59" s="41">
        <v>1</v>
      </c>
      <c r="AU59" s="41">
        <v>1</v>
      </c>
      <c r="AV59" s="41">
        <v>1</v>
      </c>
      <c r="AW59" s="41">
        <v>1</v>
      </c>
      <c r="AX59" s="41">
        <v>1</v>
      </c>
      <c r="AY59" s="41">
        <v>1</v>
      </c>
      <c r="AZ59" s="41">
        <v>1</v>
      </c>
      <c r="BA59" s="41">
        <v>1</v>
      </c>
      <c r="BB59" s="41">
        <v>1</v>
      </c>
      <c r="BD59" s="145">
        <f t="shared" si="176"/>
        <v>1</v>
      </c>
      <c r="BE59" s="145">
        <v>3.86</v>
      </c>
      <c r="BF59" s="145">
        <v>3.91</v>
      </c>
      <c r="BG59" s="145">
        <v>3.91</v>
      </c>
      <c r="BH59" s="145">
        <v>3.93</v>
      </c>
      <c r="BI59" s="145">
        <v>3.87</v>
      </c>
      <c r="BJ59" s="41">
        <v>3.85</v>
      </c>
      <c r="BK59" s="41">
        <v>1</v>
      </c>
      <c r="BL59" s="41">
        <v>1</v>
      </c>
      <c r="BM59" s="41">
        <v>1</v>
      </c>
      <c r="BN59" s="41">
        <v>1</v>
      </c>
      <c r="BO59" s="41">
        <v>1</v>
      </c>
      <c r="BP59" s="41">
        <v>1</v>
      </c>
      <c r="BQ59" s="41">
        <v>1</v>
      </c>
      <c r="BR59" s="41">
        <v>1</v>
      </c>
      <c r="BS59" s="41">
        <v>1</v>
      </c>
      <c r="BT59" s="41">
        <v>1</v>
      </c>
      <c r="BU59" s="41">
        <v>1</v>
      </c>
      <c r="BV59" s="41">
        <v>1</v>
      </c>
      <c r="BW59" s="41">
        <v>1</v>
      </c>
      <c r="BX59" s="41">
        <v>1</v>
      </c>
      <c r="BY59" s="41">
        <v>1</v>
      </c>
      <c r="BZ59" s="41">
        <v>1</v>
      </c>
      <c r="CA59" s="41">
        <v>1</v>
      </c>
      <c r="CB59" s="41">
        <v>1</v>
      </c>
      <c r="CC59" s="41">
        <v>1</v>
      </c>
      <c r="CD59" s="41">
        <v>1</v>
      </c>
      <c r="CE59" s="41">
        <v>1</v>
      </c>
      <c r="CF59" s="41">
        <v>1</v>
      </c>
      <c r="CG59" s="41">
        <v>1</v>
      </c>
      <c r="CH59" s="41">
        <v>1</v>
      </c>
      <c r="CJ59" s="145">
        <f t="shared" si="177"/>
        <v>1</v>
      </c>
      <c r="CK59" s="145">
        <v>3.83</v>
      </c>
      <c r="CL59" s="145">
        <v>3.89</v>
      </c>
      <c r="CM59" s="145">
        <v>3.89</v>
      </c>
      <c r="CN59" s="145">
        <v>3.91</v>
      </c>
      <c r="CO59" s="145">
        <v>3.99</v>
      </c>
      <c r="CP59" s="41">
        <v>3.97</v>
      </c>
      <c r="CQ59" s="41">
        <v>1</v>
      </c>
      <c r="CR59" s="41">
        <v>1</v>
      </c>
      <c r="CS59" s="41">
        <v>1</v>
      </c>
      <c r="CT59" s="41">
        <v>1</v>
      </c>
      <c r="CU59" s="41">
        <v>1</v>
      </c>
      <c r="CV59" s="41">
        <v>1</v>
      </c>
      <c r="CW59" s="41">
        <v>1</v>
      </c>
      <c r="CX59" s="41">
        <v>1</v>
      </c>
      <c r="CY59" s="41">
        <v>1</v>
      </c>
      <c r="CZ59" s="41">
        <v>1</v>
      </c>
      <c r="DA59" s="41">
        <v>1</v>
      </c>
      <c r="DB59" s="41">
        <v>1</v>
      </c>
      <c r="DC59" s="41">
        <v>1</v>
      </c>
      <c r="DD59" s="41">
        <v>1</v>
      </c>
      <c r="DE59" s="41">
        <v>1</v>
      </c>
      <c r="DF59" s="41">
        <v>1</v>
      </c>
      <c r="DG59" s="41">
        <v>1</v>
      </c>
      <c r="DH59" s="41">
        <v>1</v>
      </c>
      <c r="DI59" s="41">
        <v>1</v>
      </c>
      <c r="DJ59" s="41">
        <v>1</v>
      </c>
      <c r="DK59" s="41">
        <v>1</v>
      </c>
      <c r="DL59" s="41">
        <v>1</v>
      </c>
      <c r="DM59" s="41">
        <v>1</v>
      </c>
      <c r="DN59" s="41">
        <v>1</v>
      </c>
      <c r="DP59" s="145">
        <f t="shared" si="178"/>
        <v>1</v>
      </c>
      <c r="DQ59" s="145">
        <v>4.6500000000000004</v>
      </c>
      <c r="DR59" s="145">
        <v>4.7300000000000004</v>
      </c>
      <c r="DS59" s="145">
        <v>4.7300000000000004</v>
      </c>
      <c r="DT59" s="145">
        <v>4.75</v>
      </c>
      <c r="DU59" s="145">
        <v>4.8499999999999996</v>
      </c>
      <c r="DV59" s="41">
        <v>4.83</v>
      </c>
      <c r="DW59" s="41">
        <v>1</v>
      </c>
      <c r="DX59" s="41">
        <v>1</v>
      </c>
      <c r="DY59" s="41">
        <v>1</v>
      </c>
      <c r="DZ59" s="41">
        <v>1</v>
      </c>
      <c r="EA59" s="41">
        <v>1</v>
      </c>
      <c r="EB59" s="41">
        <v>1</v>
      </c>
      <c r="EC59" s="41">
        <v>1</v>
      </c>
      <c r="ED59" s="41">
        <v>1</v>
      </c>
      <c r="EE59" s="41">
        <v>1</v>
      </c>
      <c r="EF59" s="41">
        <v>1</v>
      </c>
      <c r="EG59" s="41">
        <v>1</v>
      </c>
      <c r="EH59" s="41">
        <v>1</v>
      </c>
      <c r="EI59" s="41">
        <v>1</v>
      </c>
      <c r="EJ59" s="41">
        <v>1</v>
      </c>
      <c r="EK59" s="41">
        <v>1</v>
      </c>
      <c r="EL59" s="41">
        <v>1</v>
      </c>
      <c r="EM59" s="41">
        <v>1</v>
      </c>
      <c r="EN59" s="41">
        <v>1</v>
      </c>
      <c r="EO59" s="41">
        <v>1</v>
      </c>
      <c r="EP59" s="41">
        <v>1</v>
      </c>
      <c r="EQ59" s="41">
        <v>1</v>
      </c>
      <c r="ER59" s="41">
        <v>1</v>
      </c>
      <c r="ES59" s="41">
        <v>1</v>
      </c>
      <c r="ET59" s="41">
        <v>1</v>
      </c>
      <c r="EV59" s="145">
        <f t="shared" si="179"/>
        <v>1</v>
      </c>
      <c r="EW59" s="145">
        <v>4.34</v>
      </c>
      <c r="EX59" s="145">
        <v>4.37</v>
      </c>
      <c r="EY59" s="145">
        <v>4.37</v>
      </c>
      <c r="EZ59" s="145">
        <v>4.3899999999999997</v>
      </c>
      <c r="FA59" s="145">
        <v>4.4800000000000004</v>
      </c>
      <c r="FB59" s="41">
        <v>4.46</v>
      </c>
      <c r="FC59" s="41">
        <v>1</v>
      </c>
      <c r="FD59" s="41">
        <v>1</v>
      </c>
      <c r="FE59" s="41">
        <v>1</v>
      </c>
      <c r="FF59" s="41">
        <v>1</v>
      </c>
      <c r="FG59" s="41">
        <v>1</v>
      </c>
      <c r="FH59" s="41">
        <v>1</v>
      </c>
      <c r="FI59" s="41">
        <v>1</v>
      </c>
      <c r="FJ59" s="41">
        <v>1</v>
      </c>
      <c r="FK59" s="41">
        <v>1</v>
      </c>
      <c r="FL59" s="41">
        <v>1</v>
      </c>
      <c r="FM59" s="41">
        <v>1</v>
      </c>
      <c r="FN59" s="41">
        <v>1</v>
      </c>
      <c r="FO59" s="41">
        <v>1</v>
      </c>
      <c r="FP59" s="41">
        <v>1</v>
      </c>
      <c r="FQ59" s="41">
        <v>1</v>
      </c>
      <c r="FR59" s="41">
        <v>1</v>
      </c>
      <c r="FS59" s="41">
        <v>1</v>
      </c>
      <c r="FT59" s="41">
        <v>1</v>
      </c>
      <c r="FU59" s="41">
        <v>1</v>
      </c>
      <c r="FV59" s="41">
        <v>1</v>
      </c>
      <c r="FW59" s="41">
        <v>1</v>
      </c>
      <c r="FX59" s="41">
        <v>1</v>
      </c>
      <c r="FY59" s="41">
        <v>1</v>
      </c>
      <c r="FZ59" s="41">
        <v>1</v>
      </c>
      <c r="GB59" s="145">
        <f t="shared" si="180"/>
        <v>1</v>
      </c>
      <c r="GC59" s="145">
        <v>11.44</v>
      </c>
      <c r="GD59" s="145">
        <v>11.67</v>
      </c>
      <c r="GE59" s="145">
        <v>11.67</v>
      </c>
      <c r="GF59" s="145">
        <v>11.72</v>
      </c>
      <c r="GG59" s="145">
        <v>11.97</v>
      </c>
      <c r="GH59" s="41">
        <v>11.92</v>
      </c>
      <c r="GI59" s="41">
        <v>1</v>
      </c>
      <c r="GJ59" s="41">
        <v>1</v>
      </c>
      <c r="GK59" s="41">
        <v>1</v>
      </c>
      <c r="GL59" s="41">
        <v>1</v>
      </c>
      <c r="GM59" s="41">
        <v>1</v>
      </c>
      <c r="GN59" s="41">
        <v>1</v>
      </c>
      <c r="GO59" s="41">
        <v>1</v>
      </c>
      <c r="GP59" s="41">
        <v>1</v>
      </c>
      <c r="GQ59" s="41">
        <v>1</v>
      </c>
      <c r="GR59" s="41">
        <v>1</v>
      </c>
      <c r="GS59" s="41">
        <v>1</v>
      </c>
      <c r="GT59" s="41">
        <v>1</v>
      </c>
      <c r="GU59" s="41">
        <v>1</v>
      </c>
      <c r="GV59" s="41">
        <v>1</v>
      </c>
      <c r="GW59" s="41">
        <v>1</v>
      </c>
      <c r="GX59" s="41">
        <v>1</v>
      </c>
      <c r="GY59" s="41">
        <v>1</v>
      </c>
      <c r="GZ59" s="41">
        <v>1</v>
      </c>
      <c r="HA59" s="41">
        <v>1</v>
      </c>
      <c r="HB59" s="41">
        <v>1</v>
      </c>
      <c r="HC59" s="41">
        <v>1</v>
      </c>
      <c r="HD59" s="41">
        <v>1</v>
      </c>
      <c r="HE59" s="41">
        <v>1</v>
      </c>
      <c r="HF59" s="41">
        <v>1</v>
      </c>
      <c r="HH59" s="373">
        <v>1</v>
      </c>
      <c r="HI59" s="218">
        <v>1</v>
      </c>
      <c r="HJ59" s="229">
        <v>1</v>
      </c>
      <c r="HK59" s="229">
        <v>1</v>
      </c>
      <c r="HM59" s="373">
        <f t="shared" si="173"/>
        <v>1</v>
      </c>
      <c r="HN59" s="145">
        <v>1</v>
      </c>
    </row>
    <row r="60" spans="1:228" ht="12.75" hidden="1" customHeight="1" x14ac:dyDescent="0.2">
      <c r="A60" s="373">
        <f t="shared" si="172"/>
        <v>56</v>
      </c>
      <c r="B60" s="149" t="s">
        <v>150</v>
      </c>
      <c r="C60" s="150">
        <v>0.996</v>
      </c>
      <c r="D60" s="150">
        <v>0.97699999999999998</v>
      </c>
      <c r="E60" s="150">
        <v>1.0009999999999999</v>
      </c>
      <c r="F60" s="150">
        <v>1.2090000000000001</v>
      </c>
      <c r="G60" s="150"/>
      <c r="H60" s="226">
        <f ca="1">OFFSET($HH60,0,'Расчет стоимости'!$M$10,1,1)</f>
        <v>1</v>
      </c>
      <c r="I60" s="150">
        <v>1</v>
      </c>
      <c r="J60" s="150">
        <v>1</v>
      </c>
      <c r="K60" s="149">
        <v>1</v>
      </c>
      <c r="L60" s="149">
        <v>1</v>
      </c>
      <c r="M60" s="372">
        <v>2.1000000000000001E-2</v>
      </c>
      <c r="N60" s="145">
        <v>1.9E-2</v>
      </c>
      <c r="O60" s="145">
        <v>0.01</v>
      </c>
      <c r="P60" s="145">
        <v>3.2000000000000001E-2</v>
      </c>
      <c r="Q60" s="145">
        <v>0</v>
      </c>
      <c r="R60" s="152" t="s">
        <v>234</v>
      </c>
      <c r="T60" s="225">
        <f t="shared" si="181"/>
        <v>1</v>
      </c>
      <c r="U60" s="225">
        <f t="shared" si="181"/>
        <v>1</v>
      </c>
      <c r="V60" s="225">
        <f t="shared" si="181"/>
        <v>1</v>
      </c>
      <c r="W60" s="225">
        <f t="shared" si="181"/>
        <v>1</v>
      </c>
      <c r="X60" s="145">
        <f t="shared" si="175"/>
        <v>1</v>
      </c>
      <c r="Y60" s="145">
        <v>5.83</v>
      </c>
      <c r="Z60" s="145">
        <v>5.99</v>
      </c>
      <c r="AA60" s="145">
        <v>5.99</v>
      </c>
      <c r="AB60" s="145">
        <v>6.01</v>
      </c>
      <c r="AC60" s="145">
        <v>6.14</v>
      </c>
      <c r="AD60" s="41">
        <v>6.12</v>
      </c>
      <c r="AE60" s="41">
        <v>1</v>
      </c>
      <c r="AF60" s="41">
        <v>1</v>
      </c>
      <c r="AG60" s="41">
        <v>1</v>
      </c>
      <c r="AH60" s="41">
        <v>1</v>
      </c>
      <c r="AI60" s="41">
        <v>1</v>
      </c>
      <c r="AJ60" s="41">
        <v>1</v>
      </c>
      <c r="AK60" s="41">
        <v>1</v>
      </c>
      <c r="AL60" s="41">
        <v>1</v>
      </c>
      <c r="AM60" s="41">
        <v>1</v>
      </c>
      <c r="AN60" s="41">
        <v>1</v>
      </c>
      <c r="AO60" s="41">
        <v>1</v>
      </c>
      <c r="AP60" s="41">
        <v>1</v>
      </c>
      <c r="AQ60" s="41">
        <v>1</v>
      </c>
      <c r="AR60" s="41">
        <v>1</v>
      </c>
      <c r="AS60" s="41">
        <v>1</v>
      </c>
      <c r="AT60" s="41">
        <v>1</v>
      </c>
      <c r="AU60" s="41">
        <v>1</v>
      </c>
      <c r="AV60" s="41">
        <v>1</v>
      </c>
      <c r="AW60" s="41">
        <v>1</v>
      </c>
      <c r="AX60" s="41">
        <v>1</v>
      </c>
      <c r="AY60" s="41">
        <v>1</v>
      </c>
      <c r="AZ60" s="41">
        <v>1</v>
      </c>
      <c r="BA60" s="41">
        <v>1</v>
      </c>
      <c r="BB60" s="41">
        <v>1</v>
      </c>
      <c r="BD60" s="145">
        <f t="shared" si="176"/>
        <v>1</v>
      </c>
      <c r="BE60" s="145">
        <v>3.87</v>
      </c>
      <c r="BF60" s="145">
        <v>3.74</v>
      </c>
      <c r="BG60" s="145">
        <v>3.74</v>
      </c>
      <c r="BH60" s="145">
        <v>3.75</v>
      </c>
      <c r="BI60" s="145">
        <v>3.83</v>
      </c>
      <c r="BJ60" s="41">
        <v>3.81</v>
      </c>
      <c r="BK60" s="41">
        <v>1</v>
      </c>
      <c r="BL60" s="41">
        <v>1</v>
      </c>
      <c r="BM60" s="41">
        <v>1</v>
      </c>
      <c r="BN60" s="41">
        <v>1</v>
      </c>
      <c r="BO60" s="41">
        <v>1</v>
      </c>
      <c r="BP60" s="41">
        <v>1</v>
      </c>
      <c r="BQ60" s="41">
        <v>1</v>
      </c>
      <c r="BR60" s="41">
        <v>1</v>
      </c>
      <c r="BS60" s="41">
        <v>1</v>
      </c>
      <c r="BT60" s="41">
        <v>1</v>
      </c>
      <c r="BU60" s="41">
        <v>1</v>
      </c>
      <c r="BV60" s="41">
        <v>1</v>
      </c>
      <c r="BW60" s="41">
        <v>1</v>
      </c>
      <c r="BX60" s="41">
        <v>1</v>
      </c>
      <c r="BY60" s="41">
        <v>1</v>
      </c>
      <c r="BZ60" s="41">
        <v>1</v>
      </c>
      <c r="CA60" s="41">
        <v>1</v>
      </c>
      <c r="CB60" s="41">
        <v>1</v>
      </c>
      <c r="CC60" s="41">
        <v>1</v>
      </c>
      <c r="CD60" s="41">
        <v>1</v>
      </c>
      <c r="CE60" s="41">
        <v>1</v>
      </c>
      <c r="CF60" s="41">
        <v>1</v>
      </c>
      <c r="CG60" s="41">
        <v>1</v>
      </c>
      <c r="CH60" s="41">
        <v>1</v>
      </c>
      <c r="CJ60" s="145">
        <f t="shared" si="177"/>
        <v>1</v>
      </c>
      <c r="CK60" s="145">
        <v>3.96</v>
      </c>
      <c r="CL60" s="145">
        <v>3.86</v>
      </c>
      <c r="CM60" s="145">
        <v>3.86</v>
      </c>
      <c r="CN60" s="145">
        <v>3.88</v>
      </c>
      <c r="CO60" s="145">
        <v>3.92</v>
      </c>
      <c r="CP60" s="41">
        <v>3.9</v>
      </c>
      <c r="CQ60" s="41">
        <v>1</v>
      </c>
      <c r="CR60" s="41">
        <v>1</v>
      </c>
      <c r="CS60" s="41">
        <v>1</v>
      </c>
      <c r="CT60" s="41">
        <v>1</v>
      </c>
      <c r="CU60" s="41">
        <v>1</v>
      </c>
      <c r="CV60" s="41">
        <v>1</v>
      </c>
      <c r="CW60" s="41">
        <v>1</v>
      </c>
      <c r="CX60" s="41">
        <v>1</v>
      </c>
      <c r="CY60" s="41">
        <v>1</v>
      </c>
      <c r="CZ60" s="41">
        <v>1</v>
      </c>
      <c r="DA60" s="41">
        <v>1</v>
      </c>
      <c r="DB60" s="41">
        <v>1</v>
      </c>
      <c r="DC60" s="41">
        <v>1</v>
      </c>
      <c r="DD60" s="41">
        <v>1</v>
      </c>
      <c r="DE60" s="41">
        <v>1</v>
      </c>
      <c r="DF60" s="41">
        <v>1</v>
      </c>
      <c r="DG60" s="41">
        <v>1</v>
      </c>
      <c r="DH60" s="41">
        <v>1</v>
      </c>
      <c r="DI60" s="41">
        <v>1</v>
      </c>
      <c r="DJ60" s="41">
        <v>1</v>
      </c>
      <c r="DK60" s="41">
        <v>1</v>
      </c>
      <c r="DL60" s="41">
        <v>1</v>
      </c>
      <c r="DM60" s="41">
        <v>1</v>
      </c>
      <c r="DN60" s="41">
        <v>1</v>
      </c>
      <c r="DP60" s="145">
        <f t="shared" si="178"/>
        <v>1</v>
      </c>
      <c r="DQ60" s="145">
        <v>4.3899999999999997</v>
      </c>
      <c r="DR60" s="145">
        <v>4.37</v>
      </c>
      <c r="DS60" s="145">
        <v>4.37</v>
      </c>
      <c r="DT60" s="145">
        <v>4.3899999999999997</v>
      </c>
      <c r="DU60" s="145">
        <v>4.4800000000000004</v>
      </c>
      <c r="DV60" s="41">
        <v>4.46</v>
      </c>
      <c r="DW60" s="41">
        <v>1</v>
      </c>
      <c r="DX60" s="41">
        <v>1</v>
      </c>
      <c r="DY60" s="41">
        <v>1</v>
      </c>
      <c r="DZ60" s="41">
        <v>1</v>
      </c>
      <c r="EA60" s="41">
        <v>1</v>
      </c>
      <c r="EB60" s="41">
        <v>1</v>
      </c>
      <c r="EC60" s="41">
        <v>1</v>
      </c>
      <c r="ED60" s="41">
        <v>1</v>
      </c>
      <c r="EE60" s="41">
        <v>1</v>
      </c>
      <c r="EF60" s="41">
        <v>1</v>
      </c>
      <c r="EG60" s="41">
        <v>1</v>
      </c>
      <c r="EH60" s="41">
        <v>1</v>
      </c>
      <c r="EI60" s="41">
        <v>1</v>
      </c>
      <c r="EJ60" s="41">
        <v>1</v>
      </c>
      <c r="EK60" s="41">
        <v>1</v>
      </c>
      <c r="EL60" s="41">
        <v>1</v>
      </c>
      <c r="EM60" s="41">
        <v>1</v>
      </c>
      <c r="EN60" s="41">
        <v>1</v>
      </c>
      <c r="EO60" s="41">
        <v>1</v>
      </c>
      <c r="EP60" s="41">
        <v>1</v>
      </c>
      <c r="EQ60" s="41">
        <v>1</v>
      </c>
      <c r="ER60" s="41">
        <v>1</v>
      </c>
      <c r="ES60" s="41">
        <v>1</v>
      </c>
      <c r="ET60" s="41">
        <v>1</v>
      </c>
      <c r="EV60" s="145">
        <f t="shared" si="179"/>
        <v>1</v>
      </c>
      <c r="EW60" s="145">
        <v>4.28</v>
      </c>
      <c r="EX60" s="145">
        <v>4.2699999999999996</v>
      </c>
      <c r="EY60" s="145">
        <v>4.2699999999999996</v>
      </c>
      <c r="EZ60" s="145">
        <v>4.29</v>
      </c>
      <c r="FA60" s="145">
        <v>4.38</v>
      </c>
      <c r="FB60" s="41">
        <v>4.3600000000000003</v>
      </c>
      <c r="FC60" s="41">
        <v>1</v>
      </c>
      <c r="FD60" s="41">
        <v>1</v>
      </c>
      <c r="FE60" s="41">
        <v>1</v>
      </c>
      <c r="FF60" s="41">
        <v>1</v>
      </c>
      <c r="FG60" s="41">
        <v>1</v>
      </c>
      <c r="FH60" s="41">
        <v>1</v>
      </c>
      <c r="FI60" s="41">
        <v>1</v>
      </c>
      <c r="FJ60" s="41">
        <v>1</v>
      </c>
      <c r="FK60" s="41">
        <v>1</v>
      </c>
      <c r="FL60" s="41">
        <v>1</v>
      </c>
      <c r="FM60" s="41">
        <v>1</v>
      </c>
      <c r="FN60" s="41">
        <v>1</v>
      </c>
      <c r="FO60" s="41">
        <v>1</v>
      </c>
      <c r="FP60" s="41">
        <v>1</v>
      </c>
      <c r="FQ60" s="41">
        <v>1</v>
      </c>
      <c r="FR60" s="41">
        <v>1</v>
      </c>
      <c r="FS60" s="41">
        <v>1</v>
      </c>
      <c r="FT60" s="41">
        <v>1</v>
      </c>
      <c r="FU60" s="41">
        <v>1</v>
      </c>
      <c r="FV60" s="41">
        <v>1</v>
      </c>
      <c r="FW60" s="41">
        <v>1</v>
      </c>
      <c r="FX60" s="41">
        <v>1</v>
      </c>
      <c r="FY60" s="41">
        <v>1</v>
      </c>
      <c r="FZ60" s="41">
        <v>1</v>
      </c>
      <c r="GB60" s="145">
        <f t="shared" si="180"/>
        <v>1</v>
      </c>
      <c r="GC60" s="145">
        <v>10.06</v>
      </c>
      <c r="GD60" s="145">
        <v>10.32</v>
      </c>
      <c r="GE60" s="145">
        <v>10.32</v>
      </c>
      <c r="GF60" s="145">
        <v>10.36</v>
      </c>
      <c r="GG60" s="145">
        <v>10.58</v>
      </c>
      <c r="GH60" s="41">
        <v>10.54</v>
      </c>
      <c r="GI60" s="41">
        <v>1</v>
      </c>
      <c r="GJ60" s="41">
        <v>1</v>
      </c>
      <c r="GK60" s="41">
        <v>1</v>
      </c>
      <c r="GL60" s="41">
        <v>1</v>
      </c>
      <c r="GM60" s="41">
        <v>1</v>
      </c>
      <c r="GN60" s="41">
        <v>1</v>
      </c>
      <c r="GO60" s="41">
        <v>1</v>
      </c>
      <c r="GP60" s="41">
        <v>1</v>
      </c>
      <c r="GQ60" s="41">
        <v>1</v>
      </c>
      <c r="GR60" s="41">
        <v>1</v>
      </c>
      <c r="GS60" s="41">
        <v>1</v>
      </c>
      <c r="GT60" s="41">
        <v>1</v>
      </c>
      <c r="GU60" s="41">
        <v>1</v>
      </c>
      <c r="GV60" s="41">
        <v>1</v>
      </c>
      <c r="GW60" s="41">
        <v>1</v>
      </c>
      <c r="GX60" s="41">
        <v>1</v>
      </c>
      <c r="GY60" s="41">
        <v>1</v>
      </c>
      <c r="GZ60" s="41">
        <v>1</v>
      </c>
      <c r="HA60" s="41">
        <v>1</v>
      </c>
      <c r="HB60" s="41">
        <v>1</v>
      </c>
      <c r="HC60" s="41">
        <v>1</v>
      </c>
      <c r="HD60" s="41">
        <v>1</v>
      </c>
      <c r="HE60" s="41">
        <v>1</v>
      </c>
      <c r="HF60" s="41">
        <v>1</v>
      </c>
      <c r="HH60" s="373">
        <v>1</v>
      </c>
      <c r="HI60" s="218">
        <v>1</v>
      </c>
      <c r="HJ60" s="229">
        <v>1</v>
      </c>
      <c r="HK60" s="229">
        <v>1</v>
      </c>
      <c r="HM60" s="373">
        <f t="shared" si="173"/>
        <v>1</v>
      </c>
      <c r="HN60" s="145">
        <v>1</v>
      </c>
    </row>
    <row r="61" spans="1:228" ht="12.75" hidden="1" customHeight="1" x14ac:dyDescent="0.2">
      <c r="A61" s="373">
        <f t="shared" si="172"/>
        <v>57</v>
      </c>
      <c r="B61" s="149" t="s">
        <v>151</v>
      </c>
      <c r="C61" s="150">
        <v>0.97899999999999998</v>
      </c>
      <c r="D61" s="150">
        <v>0.95399999999999996</v>
      </c>
      <c r="E61" s="150">
        <v>0.999</v>
      </c>
      <c r="F61" s="150">
        <v>1.218</v>
      </c>
      <c r="G61" s="150"/>
      <c r="H61" s="226">
        <f ca="1">OFFSET($HH61,0,'Расчет стоимости'!$M$10,1,1)</f>
        <v>1</v>
      </c>
      <c r="I61" s="150">
        <v>1</v>
      </c>
      <c r="J61" s="150">
        <v>1</v>
      </c>
      <c r="K61" s="149">
        <v>1</v>
      </c>
      <c r="L61" s="149">
        <v>1</v>
      </c>
      <c r="M61" s="372">
        <v>3.2000000000000001E-2</v>
      </c>
      <c r="N61" s="145">
        <v>2.8999999999999998E-2</v>
      </c>
      <c r="O61" s="145">
        <v>1.3000000000000001E-2</v>
      </c>
      <c r="P61" s="145">
        <v>0.04</v>
      </c>
      <c r="Q61" s="145">
        <v>3.0000000000000001E-3</v>
      </c>
      <c r="R61" s="152" t="s">
        <v>236</v>
      </c>
      <c r="T61" s="225">
        <f t="shared" si="181"/>
        <v>1</v>
      </c>
      <c r="U61" s="225">
        <f t="shared" si="181"/>
        <v>1</v>
      </c>
      <c r="V61" s="225">
        <f t="shared" si="181"/>
        <v>1</v>
      </c>
      <c r="W61" s="225">
        <f t="shared" si="181"/>
        <v>1</v>
      </c>
      <c r="X61" s="145">
        <f t="shared" si="175"/>
        <v>1</v>
      </c>
      <c r="Y61" s="145">
        <v>5.63</v>
      </c>
      <c r="Z61" s="145">
        <v>5.78</v>
      </c>
      <c r="AA61" s="145">
        <v>5.78</v>
      </c>
      <c r="AB61" s="145">
        <v>5.8</v>
      </c>
      <c r="AC61" s="145">
        <v>5.92</v>
      </c>
      <c r="AD61" s="41">
        <v>5.9</v>
      </c>
      <c r="AE61" s="41">
        <v>1</v>
      </c>
      <c r="AF61" s="41">
        <v>1</v>
      </c>
      <c r="AG61" s="41">
        <v>1</v>
      </c>
      <c r="AH61" s="41">
        <v>1</v>
      </c>
      <c r="AI61" s="41">
        <v>1</v>
      </c>
      <c r="AJ61" s="41">
        <v>1</v>
      </c>
      <c r="AK61" s="41">
        <v>1</v>
      </c>
      <c r="AL61" s="41">
        <v>1</v>
      </c>
      <c r="AM61" s="41">
        <v>1</v>
      </c>
      <c r="AN61" s="41">
        <v>1</v>
      </c>
      <c r="AO61" s="41">
        <v>1</v>
      </c>
      <c r="AP61" s="41">
        <v>1</v>
      </c>
      <c r="AQ61" s="41">
        <v>1</v>
      </c>
      <c r="AR61" s="41">
        <v>1</v>
      </c>
      <c r="AS61" s="41">
        <v>1</v>
      </c>
      <c r="AT61" s="41">
        <v>1</v>
      </c>
      <c r="AU61" s="41">
        <v>1</v>
      </c>
      <c r="AV61" s="41">
        <v>1</v>
      </c>
      <c r="AW61" s="41">
        <v>1</v>
      </c>
      <c r="AX61" s="41">
        <v>1</v>
      </c>
      <c r="AY61" s="41">
        <v>1</v>
      </c>
      <c r="AZ61" s="41">
        <v>1</v>
      </c>
      <c r="BA61" s="41">
        <v>1</v>
      </c>
      <c r="BB61" s="41">
        <v>1</v>
      </c>
      <c r="BD61" s="145">
        <f t="shared" si="176"/>
        <v>1</v>
      </c>
      <c r="BE61" s="145">
        <v>3.56</v>
      </c>
      <c r="BF61" s="145">
        <v>3.63</v>
      </c>
      <c r="BG61" s="145">
        <v>3.63</v>
      </c>
      <c r="BH61" s="145">
        <v>3.64</v>
      </c>
      <c r="BI61" s="145">
        <v>3.67</v>
      </c>
      <c r="BJ61" s="41">
        <v>3.66</v>
      </c>
      <c r="BK61" s="41">
        <v>1</v>
      </c>
      <c r="BL61" s="41">
        <v>1</v>
      </c>
      <c r="BM61" s="41">
        <v>1</v>
      </c>
      <c r="BN61" s="41">
        <v>1</v>
      </c>
      <c r="BO61" s="41">
        <v>1</v>
      </c>
      <c r="BP61" s="41">
        <v>1</v>
      </c>
      <c r="BQ61" s="41">
        <v>1</v>
      </c>
      <c r="BR61" s="41">
        <v>1</v>
      </c>
      <c r="BS61" s="41">
        <v>1</v>
      </c>
      <c r="BT61" s="41">
        <v>1</v>
      </c>
      <c r="BU61" s="41">
        <v>1</v>
      </c>
      <c r="BV61" s="41">
        <v>1</v>
      </c>
      <c r="BW61" s="41">
        <v>1</v>
      </c>
      <c r="BX61" s="41">
        <v>1</v>
      </c>
      <c r="BY61" s="41">
        <v>1</v>
      </c>
      <c r="BZ61" s="41">
        <v>1</v>
      </c>
      <c r="CA61" s="41">
        <v>1</v>
      </c>
      <c r="CB61" s="41">
        <v>1</v>
      </c>
      <c r="CC61" s="41">
        <v>1</v>
      </c>
      <c r="CD61" s="41">
        <v>1</v>
      </c>
      <c r="CE61" s="41">
        <v>1</v>
      </c>
      <c r="CF61" s="41">
        <v>1</v>
      </c>
      <c r="CG61" s="41">
        <v>1</v>
      </c>
      <c r="CH61" s="41">
        <v>1</v>
      </c>
      <c r="CJ61" s="145">
        <f t="shared" si="177"/>
        <v>1</v>
      </c>
      <c r="CK61" s="145">
        <v>3.71</v>
      </c>
      <c r="CL61" s="145">
        <v>3.75</v>
      </c>
      <c r="CM61" s="145">
        <v>3.75</v>
      </c>
      <c r="CN61" s="145">
        <v>3.77</v>
      </c>
      <c r="CO61" s="145">
        <v>3.82</v>
      </c>
      <c r="CP61" s="41">
        <v>3.8</v>
      </c>
      <c r="CQ61" s="41">
        <v>1</v>
      </c>
      <c r="CR61" s="41">
        <v>1</v>
      </c>
      <c r="CS61" s="41">
        <v>1</v>
      </c>
      <c r="CT61" s="41">
        <v>1</v>
      </c>
      <c r="CU61" s="41">
        <v>1</v>
      </c>
      <c r="CV61" s="41">
        <v>1</v>
      </c>
      <c r="CW61" s="41">
        <v>1</v>
      </c>
      <c r="CX61" s="41">
        <v>1</v>
      </c>
      <c r="CY61" s="41">
        <v>1</v>
      </c>
      <c r="CZ61" s="41">
        <v>1</v>
      </c>
      <c r="DA61" s="41">
        <v>1</v>
      </c>
      <c r="DB61" s="41">
        <v>1</v>
      </c>
      <c r="DC61" s="41">
        <v>1</v>
      </c>
      <c r="DD61" s="41">
        <v>1</v>
      </c>
      <c r="DE61" s="41">
        <v>1</v>
      </c>
      <c r="DF61" s="41">
        <v>1</v>
      </c>
      <c r="DG61" s="41">
        <v>1</v>
      </c>
      <c r="DH61" s="41">
        <v>1</v>
      </c>
      <c r="DI61" s="41">
        <v>1</v>
      </c>
      <c r="DJ61" s="41">
        <v>1</v>
      </c>
      <c r="DK61" s="41">
        <v>1</v>
      </c>
      <c r="DL61" s="41">
        <v>1</v>
      </c>
      <c r="DM61" s="41">
        <v>1</v>
      </c>
      <c r="DN61" s="41">
        <v>1</v>
      </c>
      <c r="DP61" s="145">
        <f t="shared" si="178"/>
        <v>1</v>
      </c>
      <c r="DQ61" s="145">
        <v>4.1500000000000004</v>
      </c>
      <c r="DR61" s="145">
        <v>4.21</v>
      </c>
      <c r="DS61" s="145">
        <v>4.21</v>
      </c>
      <c r="DT61" s="145">
        <v>4.2300000000000004</v>
      </c>
      <c r="DU61" s="145">
        <v>4.32</v>
      </c>
      <c r="DV61" s="41">
        <v>4.3</v>
      </c>
      <c r="DW61" s="41">
        <v>1</v>
      </c>
      <c r="DX61" s="41">
        <v>1</v>
      </c>
      <c r="DY61" s="41">
        <v>1</v>
      </c>
      <c r="DZ61" s="41">
        <v>1</v>
      </c>
      <c r="EA61" s="41">
        <v>1</v>
      </c>
      <c r="EB61" s="41">
        <v>1</v>
      </c>
      <c r="EC61" s="41">
        <v>1</v>
      </c>
      <c r="ED61" s="41">
        <v>1</v>
      </c>
      <c r="EE61" s="41">
        <v>1</v>
      </c>
      <c r="EF61" s="41">
        <v>1</v>
      </c>
      <c r="EG61" s="41">
        <v>1</v>
      </c>
      <c r="EH61" s="41">
        <v>1</v>
      </c>
      <c r="EI61" s="41">
        <v>1</v>
      </c>
      <c r="EJ61" s="41">
        <v>1</v>
      </c>
      <c r="EK61" s="41">
        <v>1</v>
      </c>
      <c r="EL61" s="41">
        <v>1</v>
      </c>
      <c r="EM61" s="41">
        <v>1</v>
      </c>
      <c r="EN61" s="41">
        <v>1</v>
      </c>
      <c r="EO61" s="41">
        <v>1</v>
      </c>
      <c r="EP61" s="41">
        <v>1</v>
      </c>
      <c r="EQ61" s="41">
        <v>1</v>
      </c>
      <c r="ER61" s="41">
        <v>1</v>
      </c>
      <c r="ES61" s="41">
        <v>1</v>
      </c>
      <c r="ET61" s="41">
        <v>1</v>
      </c>
      <c r="EV61" s="145">
        <f t="shared" si="179"/>
        <v>1</v>
      </c>
      <c r="EW61" s="145">
        <v>4.1100000000000003</v>
      </c>
      <c r="EX61" s="145">
        <v>4.1100000000000003</v>
      </c>
      <c r="EY61" s="145">
        <v>4.1100000000000003</v>
      </c>
      <c r="EZ61" s="145">
        <v>4.13</v>
      </c>
      <c r="FA61" s="145">
        <v>4.22</v>
      </c>
      <c r="FB61" s="41">
        <v>4.2</v>
      </c>
      <c r="FC61" s="41">
        <v>1</v>
      </c>
      <c r="FD61" s="41">
        <v>1</v>
      </c>
      <c r="FE61" s="41">
        <v>1</v>
      </c>
      <c r="FF61" s="41">
        <v>1</v>
      </c>
      <c r="FG61" s="41">
        <v>1</v>
      </c>
      <c r="FH61" s="41">
        <v>1</v>
      </c>
      <c r="FI61" s="41">
        <v>1</v>
      </c>
      <c r="FJ61" s="41">
        <v>1</v>
      </c>
      <c r="FK61" s="41">
        <v>1</v>
      </c>
      <c r="FL61" s="41">
        <v>1</v>
      </c>
      <c r="FM61" s="41">
        <v>1</v>
      </c>
      <c r="FN61" s="41">
        <v>1</v>
      </c>
      <c r="FO61" s="41">
        <v>1</v>
      </c>
      <c r="FP61" s="41">
        <v>1</v>
      </c>
      <c r="FQ61" s="41">
        <v>1</v>
      </c>
      <c r="FR61" s="41">
        <v>1</v>
      </c>
      <c r="FS61" s="41">
        <v>1</v>
      </c>
      <c r="FT61" s="41">
        <v>1</v>
      </c>
      <c r="FU61" s="41">
        <v>1</v>
      </c>
      <c r="FV61" s="41">
        <v>1</v>
      </c>
      <c r="FW61" s="41">
        <v>1</v>
      </c>
      <c r="FX61" s="41">
        <v>1</v>
      </c>
      <c r="FY61" s="41">
        <v>1</v>
      </c>
      <c r="FZ61" s="41">
        <v>1</v>
      </c>
      <c r="GB61" s="145">
        <f t="shared" si="180"/>
        <v>1</v>
      </c>
      <c r="GC61" s="145">
        <v>9.67</v>
      </c>
      <c r="GD61" s="145">
        <v>9.93</v>
      </c>
      <c r="GE61" s="145">
        <v>9.93</v>
      </c>
      <c r="GF61" s="145">
        <v>9.9700000000000006</v>
      </c>
      <c r="GG61" s="145">
        <v>10.18</v>
      </c>
      <c r="GH61" s="41">
        <v>10.14</v>
      </c>
      <c r="GI61" s="41">
        <v>1</v>
      </c>
      <c r="GJ61" s="41">
        <v>1</v>
      </c>
      <c r="GK61" s="41">
        <v>1</v>
      </c>
      <c r="GL61" s="41">
        <v>1</v>
      </c>
      <c r="GM61" s="41">
        <v>1</v>
      </c>
      <c r="GN61" s="41">
        <v>1</v>
      </c>
      <c r="GO61" s="41">
        <v>1</v>
      </c>
      <c r="GP61" s="41">
        <v>1</v>
      </c>
      <c r="GQ61" s="41">
        <v>1</v>
      </c>
      <c r="GR61" s="41">
        <v>1</v>
      </c>
      <c r="GS61" s="41">
        <v>1</v>
      </c>
      <c r="GT61" s="41">
        <v>1</v>
      </c>
      <c r="GU61" s="41">
        <v>1</v>
      </c>
      <c r="GV61" s="41">
        <v>1</v>
      </c>
      <c r="GW61" s="41">
        <v>1</v>
      </c>
      <c r="GX61" s="41">
        <v>1</v>
      </c>
      <c r="GY61" s="41">
        <v>1</v>
      </c>
      <c r="GZ61" s="41">
        <v>1</v>
      </c>
      <c r="HA61" s="41">
        <v>1</v>
      </c>
      <c r="HB61" s="41">
        <v>1</v>
      </c>
      <c r="HC61" s="41">
        <v>1</v>
      </c>
      <c r="HD61" s="41">
        <v>1</v>
      </c>
      <c r="HE61" s="41">
        <v>1</v>
      </c>
      <c r="HF61" s="41">
        <v>1</v>
      </c>
      <c r="HH61" s="373">
        <v>1</v>
      </c>
      <c r="HI61" s="218">
        <v>1</v>
      </c>
      <c r="HJ61" s="229">
        <v>1</v>
      </c>
      <c r="HK61" s="229">
        <v>1</v>
      </c>
      <c r="HM61" s="373">
        <f t="shared" si="173"/>
        <v>1</v>
      </c>
      <c r="HN61" s="145">
        <v>1</v>
      </c>
    </row>
    <row r="62" spans="1:228" ht="12.75" hidden="1" customHeight="1" x14ac:dyDescent="0.2">
      <c r="A62" s="373">
        <f t="shared" si="172"/>
        <v>58</v>
      </c>
      <c r="B62" s="149" t="s">
        <v>161</v>
      </c>
      <c r="C62" s="150">
        <v>1.1339999999999999</v>
      </c>
      <c r="D62" s="150">
        <v>1.1539999999999999</v>
      </c>
      <c r="E62" s="150">
        <v>1</v>
      </c>
      <c r="F62" s="150">
        <v>1.3779999999999999</v>
      </c>
      <c r="G62" s="150"/>
      <c r="H62" s="226">
        <f ca="1">OFFSET($HH62,0,'Расчет стоимости'!$M$10,1,1)</f>
        <v>1.0900000000000001</v>
      </c>
      <c r="I62" s="150">
        <v>1</v>
      </c>
      <c r="J62" s="150">
        <v>1</v>
      </c>
      <c r="K62" s="149">
        <v>1</v>
      </c>
      <c r="L62" s="149">
        <v>1</v>
      </c>
      <c r="M62" s="372">
        <v>3.2000000000000001E-2</v>
      </c>
      <c r="N62" s="145">
        <v>2.8999999999999998E-2</v>
      </c>
      <c r="O62" s="145">
        <v>1.3000000000000001E-2</v>
      </c>
      <c r="P62" s="145">
        <v>0.04</v>
      </c>
      <c r="Q62" s="145">
        <v>3.0000000000000001E-3</v>
      </c>
      <c r="R62" s="152" t="s">
        <v>236</v>
      </c>
      <c r="T62" s="225">
        <f t="shared" si="181"/>
        <v>1</v>
      </c>
      <c r="U62" s="225">
        <f t="shared" si="181"/>
        <v>1</v>
      </c>
      <c r="V62" s="225">
        <f t="shared" si="181"/>
        <v>1</v>
      </c>
      <c r="W62" s="225">
        <f t="shared" si="181"/>
        <v>1</v>
      </c>
      <c r="X62" s="145">
        <f t="shared" si="175"/>
        <v>1</v>
      </c>
      <c r="Y62" s="145">
        <v>5.73</v>
      </c>
      <c r="Z62" s="145">
        <v>5.86</v>
      </c>
      <c r="AA62" s="145">
        <v>5.86</v>
      </c>
      <c r="AB62" s="145">
        <v>5.88</v>
      </c>
      <c r="AC62" s="145">
        <v>6</v>
      </c>
      <c r="AD62" s="41">
        <v>5.98</v>
      </c>
      <c r="AE62" s="41">
        <v>1</v>
      </c>
      <c r="AF62" s="41">
        <v>1</v>
      </c>
      <c r="AG62" s="41">
        <v>1</v>
      </c>
      <c r="AH62" s="41">
        <v>1</v>
      </c>
      <c r="AI62" s="41">
        <v>1</v>
      </c>
      <c r="AJ62" s="41">
        <v>1</v>
      </c>
      <c r="AK62" s="41">
        <v>1</v>
      </c>
      <c r="AL62" s="41">
        <v>1</v>
      </c>
      <c r="AM62" s="41">
        <v>1</v>
      </c>
      <c r="AN62" s="41">
        <v>1</v>
      </c>
      <c r="AO62" s="41">
        <v>1</v>
      </c>
      <c r="AP62" s="41">
        <v>1</v>
      </c>
      <c r="AQ62" s="41">
        <v>1</v>
      </c>
      <c r="AR62" s="41">
        <v>1</v>
      </c>
      <c r="AS62" s="41">
        <v>1</v>
      </c>
      <c r="AT62" s="41">
        <v>1</v>
      </c>
      <c r="AU62" s="41">
        <v>1</v>
      </c>
      <c r="AV62" s="41">
        <v>1</v>
      </c>
      <c r="AW62" s="41">
        <v>1</v>
      </c>
      <c r="AX62" s="41">
        <v>1</v>
      </c>
      <c r="AY62" s="41">
        <v>1</v>
      </c>
      <c r="AZ62" s="41">
        <v>1</v>
      </c>
      <c r="BA62" s="41">
        <v>1</v>
      </c>
      <c r="BB62" s="41">
        <v>1</v>
      </c>
      <c r="BD62" s="145">
        <f t="shared" si="176"/>
        <v>1</v>
      </c>
      <c r="BE62" s="145">
        <v>3.9</v>
      </c>
      <c r="BF62" s="145">
        <v>3.95</v>
      </c>
      <c r="BG62" s="145">
        <v>3.95</v>
      </c>
      <c r="BH62" s="145">
        <v>3.97</v>
      </c>
      <c r="BI62" s="145">
        <v>4.05</v>
      </c>
      <c r="BJ62" s="41">
        <v>4.03</v>
      </c>
      <c r="BK62" s="41">
        <v>1</v>
      </c>
      <c r="BL62" s="41">
        <v>1</v>
      </c>
      <c r="BM62" s="41">
        <v>1</v>
      </c>
      <c r="BN62" s="41">
        <v>1</v>
      </c>
      <c r="BO62" s="41">
        <v>1</v>
      </c>
      <c r="BP62" s="41">
        <v>1</v>
      </c>
      <c r="BQ62" s="41">
        <v>1</v>
      </c>
      <c r="BR62" s="41">
        <v>1</v>
      </c>
      <c r="BS62" s="41">
        <v>1</v>
      </c>
      <c r="BT62" s="41">
        <v>1</v>
      </c>
      <c r="BU62" s="41">
        <v>1</v>
      </c>
      <c r="BV62" s="41">
        <v>1</v>
      </c>
      <c r="BW62" s="41">
        <v>1</v>
      </c>
      <c r="BX62" s="41">
        <v>1</v>
      </c>
      <c r="BY62" s="41">
        <v>1</v>
      </c>
      <c r="BZ62" s="41">
        <v>1</v>
      </c>
      <c r="CA62" s="41">
        <v>1</v>
      </c>
      <c r="CB62" s="41">
        <v>1</v>
      </c>
      <c r="CC62" s="41">
        <v>1</v>
      </c>
      <c r="CD62" s="41">
        <v>1</v>
      </c>
      <c r="CE62" s="41">
        <v>1</v>
      </c>
      <c r="CF62" s="41">
        <v>1</v>
      </c>
      <c r="CG62" s="41">
        <v>1</v>
      </c>
      <c r="CH62" s="41">
        <v>1</v>
      </c>
      <c r="CJ62" s="145">
        <f t="shared" si="177"/>
        <v>1</v>
      </c>
      <c r="CK62" s="145">
        <v>4.9400000000000004</v>
      </c>
      <c r="CL62" s="145">
        <v>4.99</v>
      </c>
      <c r="CM62" s="145">
        <v>4.99</v>
      </c>
      <c r="CN62" s="145">
        <v>5.01</v>
      </c>
      <c r="CO62" s="145">
        <v>5.12</v>
      </c>
      <c r="CP62" s="41">
        <v>5.0999999999999996</v>
      </c>
      <c r="CQ62" s="41">
        <v>1</v>
      </c>
      <c r="CR62" s="41">
        <v>1</v>
      </c>
      <c r="CS62" s="41">
        <v>1</v>
      </c>
      <c r="CT62" s="41">
        <v>1</v>
      </c>
      <c r="CU62" s="41">
        <v>1</v>
      </c>
      <c r="CV62" s="41">
        <v>1</v>
      </c>
      <c r="CW62" s="41">
        <v>1</v>
      </c>
      <c r="CX62" s="41">
        <v>1</v>
      </c>
      <c r="CY62" s="41">
        <v>1</v>
      </c>
      <c r="CZ62" s="41">
        <v>1</v>
      </c>
      <c r="DA62" s="41">
        <v>1</v>
      </c>
      <c r="DB62" s="41">
        <v>1</v>
      </c>
      <c r="DC62" s="41">
        <v>1</v>
      </c>
      <c r="DD62" s="41">
        <v>1</v>
      </c>
      <c r="DE62" s="41">
        <v>1</v>
      </c>
      <c r="DF62" s="41">
        <v>1</v>
      </c>
      <c r="DG62" s="41">
        <v>1</v>
      </c>
      <c r="DH62" s="41">
        <v>1</v>
      </c>
      <c r="DI62" s="41">
        <v>1</v>
      </c>
      <c r="DJ62" s="41">
        <v>1</v>
      </c>
      <c r="DK62" s="41">
        <v>1</v>
      </c>
      <c r="DL62" s="41">
        <v>1</v>
      </c>
      <c r="DM62" s="41">
        <v>1</v>
      </c>
      <c r="DN62" s="41">
        <v>1</v>
      </c>
      <c r="DP62" s="145">
        <f t="shared" si="178"/>
        <v>1</v>
      </c>
      <c r="DQ62" s="145">
        <v>4.5999999999999996</v>
      </c>
      <c r="DR62" s="145">
        <v>4.7</v>
      </c>
      <c r="DS62" s="145">
        <v>4.7</v>
      </c>
      <c r="DT62" s="145">
        <v>4.72</v>
      </c>
      <c r="DU62" s="145">
        <v>4.82</v>
      </c>
      <c r="DV62" s="41">
        <v>4.8</v>
      </c>
      <c r="DW62" s="41">
        <v>1</v>
      </c>
      <c r="DX62" s="41">
        <v>1</v>
      </c>
      <c r="DY62" s="41">
        <v>1</v>
      </c>
      <c r="DZ62" s="41">
        <v>1</v>
      </c>
      <c r="EA62" s="41">
        <v>1</v>
      </c>
      <c r="EB62" s="41">
        <v>1</v>
      </c>
      <c r="EC62" s="41">
        <v>1</v>
      </c>
      <c r="ED62" s="41">
        <v>1</v>
      </c>
      <c r="EE62" s="41">
        <v>1</v>
      </c>
      <c r="EF62" s="41">
        <v>1</v>
      </c>
      <c r="EG62" s="41">
        <v>1</v>
      </c>
      <c r="EH62" s="41">
        <v>1</v>
      </c>
      <c r="EI62" s="41">
        <v>1</v>
      </c>
      <c r="EJ62" s="41">
        <v>1</v>
      </c>
      <c r="EK62" s="41">
        <v>1</v>
      </c>
      <c r="EL62" s="41">
        <v>1</v>
      </c>
      <c r="EM62" s="41">
        <v>1</v>
      </c>
      <c r="EN62" s="41">
        <v>1</v>
      </c>
      <c r="EO62" s="41">
        <v>1</v>
      </c>
      <c r="EP62" s="41">
        <v>1</v>
      </c>
      <c r="EQ62" s="41">
        <v>1</v>
      </c>
      <c r="ER62" s="41">
        <v>1</v>
      </c>
      <c r="ES62" s="41">
        <v>1</v>
      </c>
      <c r="ET62" s="41">
        <v>1</v>
      </c>
      <c r="EV62" s="145">
        <f t="shared" si="179"/>
        <v>1</v>
      </c>
      <c r="EW62" s="145">
        <v>5.45</v>
      </c>
      <c r="EX62" s="145">
        <v>5.59</v>
      </c>
      <c r="EY62" s="145">
        <v>5.59</v>
      </c>
      <c r="EZ62" s="145">
        <v>5.61</v>
      </c>
      <c r="FA62" s="145">
        <v>5.73</v>
      </c>
      <c r="FB62" s="41">
        <v>5.71</v>
      </c>
      <c r="FC62" s="41">
        <v>1</v>
      </c>
      <c r="FD62" s="41">
        <v>1</v>
      </c>
      <c r="FE62" s="41">
        <v>1</v>
      </c>
      <c r="FF62" s="41">
        <v>1</v>
      </c>
      <c r="FG62" s="41">
        <v>1</v>
      </c>
      <c r="FH62" s="41">
        <v>1</v>
      </c>
      <c r="FI62" s="41">
        <v>1</v>
      </c>
      <c r="FJ62" s="41">
        <v>1</v>
      </c>
      <c r="FK62" s="41">
        <v>1</v>
      </c>
      <c r="FL62" s="41">
        <v>1</v>
      </c>
      <c r="FM62" s="41">
        <v>1</v>
      </c>
      <c r="FN62" s="41">
        <v>1</v>
      </c>
      <c r="FO62" s="41">
        <v>1</v>
      </c>
      <c r="FP62" s="41">
        <v>1</v>
      </c>
      <c r="FQ62" s="41">
        <v>1</v>
      </c>
      <c r="FR62" s="41">
        <v>1</v>
      </c>
      <c r="FS62" s="41">
        <v>1</v>
      </c>
      <c r="FT62" s="41">
        <v>1</v>
      </c>
      <c r="FU62" s="41">
        <v>1</v>
      </c>
      <c r="FV62" s="41">
        <v>1</v>
      </c>
      <c r="FW62" s="41">
        <v>1</v>
      </c>
      <c r="FX62" s="41">
        <v>1</v>
      </c>
      <c r="FY62" s="41">
        <v>1</v>
      </c>
      <c r="FZ62" s="41">
        <v>1</v>
      </c>
      <c r="GB62" s="145">
        <f t="shared" si="180"/>
        <v>1</v>
      </c>
      <c r="GC62" s="145">
        <v>10.78</v>
      </c>
      <c r="GD62" s="145">
        <v>11.07</v>
      </c>
      <c r="GE62" s="145">
        <v>11.07</v>
      </c>
      <c r="GF62" s="145">
        <v>11.11</v>
      </c>
      <c r="GG62" s="145">
        <v>11.34</v>
      </c>
      <c r="GH62" s="41">
        <v>11.29</v>
      </c>
      <c r="GI62" s="41">
        <v>1</v>
      </c>
      <c r="GJ62" s="41">
        <v>1</v>
      </c>
      <c r="GK62" s="41">
        <v>1</v>
      </c>
      <c r="GL62" s="41">
        <v>1</v>
      </c>
      <c r="GM62" s="41">
        <v>1</v>
      </c>
      <c r="GN62" s="41">
        <v>1</v>
      </c>
      <c r="GO62" s="41">
        <v>1</v>
      </c>
      <c r="GP62" s="41">
        <v>1</v>
      </c>
      <c r="GQ62" s="41">
        <v>1</v>
      </c>
      <c r="GR62" s="41">
        <v>1</v>
      </c>
      <c r="GS62" s="41">
        <v>1</v>
      </c>
      <c r="GT62" s="41">
        <v>1</v>
      </c>
      <c r="GU62" s="41">
        <v>1</v>
      </c>
      <c r="GV62" s="41">
        <v>1</v>
      </c>
      <c r="GW62" s="41">
        <v>1</v>
      </c>
      <c r="GX62" s="41">
        <v>1</v>
      </c>
      <c r="GY62" s="41">
        <v>1</v>
      </c>
      <c r="GZ62" s="41">
        <v>1</v>
      </c>
      <c r="HA62" s="41">
        <v>1</v>
      </c>
      <c r="HB62" s="41">
        <v>1</v>
      </c>
      <c r="HC62" s="41">
        <v>1</v>
      </c>
      <c r="HD62" s="41">
        <v>1</v>
      </c>
      <c r="HE62" s="41">
        <v>1</v>
      </c>
      <c r="HF62" s="41">
        <v>1</v>
      </c>
      <c r="HH62" s="373">
        <v>1</v>
      </c>
      <c r="HI62" s="218">
        <v>1.0900000000000001</v>
      </c>
      <c r="HJ62" s="229">
        <v>1.0900000000000001</v>
      </c>
      <c r="HK62" s="229">
        <v>1.0900000000000001</v>
      </c>
      <c r="HM62" s="373">
        <f t="shared" si="173"/>
        <v>1</v>
      </c>
      <c r="HN62" s="145">
        <v>1</v>
      </c>
    </row>
    <row r="63" spans="1:228" ht="12.75" hidden="1" customHeight="1" x14ac:dyDescent="0.2">
      <c r="A63" s="373">
        <f t="shared" si="172"/>
        <v>59</v>
      </c>
      <c r="B63" s="149" t="s">
        <v>163</v>
      </c>
      <c r="C63" s="150">
        <v>1.139</v>
      </c>
      <c r="D63" s="150">
        <v>1.052</v>
      </c>
      <c r="E63" s="150">
        <v>1.41</v>
      </c>
      <c r="F63" s="150">
        <v>1.242</v>
      </c>
      <c r="G63" s="150"/>
      <c r="H63" s="226">
        <f ca="1">OFFSET($HH63,0,'Расчет стоимости'!$M$10,1,1)</f>
        <v>1.1299999999999999</v>
      </c>
      <c r="I63" s="150">
        <v>1</v>
      </c>
      <c r="J63" s="150">
        <v>1</v>
      </c>
      <c r="K63" s="149">
        <v>1</v>
      </c>
      <c r="L63" s="149">
        <v>1</v>
      </c>
      <c r="M63" s="372">
        <v>3.2000000000000001E-2</v>
      </c>
      <c r="N63" s="145">
        <v>2.8999999999999998E-2</v>
      </c>
      <c r="O63" s="145">
        <v>1.3000000000000001E-2</v>
      </c>
      <c r="P63" s="145">
        <v>0.04</v>
      </c>
      <c r="Q63" s="145">
        <v>3.0000000000000001E-3</v>
      </c>
      <c r="R63" s="152" t="s">
        <v>236</v>
      </c>
      <c r="T63" s="225">
        <f t="shared" si="181"/>
        <v>1</v>
      </c>
      <c r="U63" s="225">
        <f t="shared" si="181"/>
        <v>1</v>
      </c>
      <c r="V63" s="225">
        <f t="shared" si="181"/>
        <v>1</v>
      </c>
      <c r="W63" s="225">
        <f t="shared" si="181"/>
        <v>1</v>
      </c>
      <c r="X63" s="145">
        <f t="shared" si="175"/>
        <v>1</v>
      </c>
      <c r="Y63" s="145">
        <v>6.33</v>
      </c>
      <c r="Z63" s="145">
        <v>6.38</v>
      </c>
      <c r="AA63" s="145">
        <v>6.38</v>
      </c>
      <c r="AB63" s="145">
        <v>6.41</v>
      </c>
      <c r="AC63" s="145">
        <v>6.54</v>
      </c>
      <c r="AD63" s="41">
        <v>6.51</v>
      </c>
      <c r="AE63" s="41">
        <v>1</v>
      </c>
      <c r="AF63" s="41">
        <v>1</v>
      </c>
      <c r="AG63" s="41">
        <v>1</v>
      </c>
      <c r="AH63" s="41">
        <v>1</v>
      </c>
      <c r="AI63" s="41">
        <v>1</v>
      </c>
      <c r="AJ63" s="41">
        <v>1</v>
      </c>
      <c r="AK63" s="41">
        <v>1</v>
      </c>
      <c r="AL63" s="41">
        <v>1</v>
      </c>
      <c r="AM63" s="41">
        <v>1</v>
      </c>
      <c r="AN63" s="41">
        <v>1</v>
      </c>
      <c r="AO63" s="41">
        <v>1</v>
      </c>
      <c r="AP63" s="41">
        <v>1</v>
      </c>
      <c r="AQ63" s="41">
        <v>1</v>
      </c>
      <c r="AR63" s="41">
        <v>1</v>
      </c>
      <c r="AS63" s="41">
        <v>1</v>
      </c>
      <c r="AT63" s="41">
        <v>1</v>
      </c>
      <c r="AU63" s="41">
        <v>1</v>
      </c>
      <c r="AV63" s="41">
        <v>1</v>
      </c>
      <c r="AW63" s="41">
        <v>1</v>
      </c>
      <c r="AX63" s="41">
        <v>1</v>
      </c>
      <c r="AY63" s="41">
        <v>1</v>
      </c>
      <c r="AZ63" s="41">
        <v>1</v>
      </c>
      <c r="BA63" s="41">
        <v>1</v>
      </c>
      <c r="BB63" s="41">
        <v>1</v>
      </c>
      <c r="BD63" s="145">
        <f t="shared" si="176"/>
        <v>1</v>
      </c>
      <c r="BE63" s="145">
        <v>3.69</v>
      </c>
      <c r="BF63" s="145">
        <v>3.75</v>
      </c>
      <c r="BG63" s="145">
        <v>3.75</v>
      </c>
      <c r="BH63" s="145">
        <v>3.77</v>
      </c>
      <c r="BI63" s="145">
        <v>3.85</v>
      </c>
      <c r="BJ63" s="41">
        <v>3.83</v>
      </c>
      <c r="BK63" s="41">
        <v>1</v>
      </c>
      <c r="BL63" s="41">
        <v>1</v>
      </c>
      <c r="BM63" s="41">
        <v>1</v>
      </c>
      <c r="BN63" s="41">
        <v>1</v>
      </c>
      <c r="BO63" s="41">
        <v>1</v>
      </c>
      <c r="BP63" s="41">
        <v>1</v>
      </c>
      <c r="BQ63" s="41">
        <v>1</v>
      </c>
      <c r="BR63" s="41">
        <v>1</v>
      </c>
      <c r="BS63" s="41">
        <v>1</v>
      </c>
      <c r="BT63" s="41">
        <v>1</v>
      </c>
      <c r="BU63" s="41">
        <v>1</v>
      </c>
      <c r="BV63" s="41">
        <v>1</v>
      </c>
      <c r="BW63" s="41">
        <v>1</v>
      </c>
      <c r="BX63" s="41">
        <v>1</v>
      </c>
      <c r="BY63" s="41">
        <v>1</v>
      </c>
      <c r="BZ63" s="41">
        <v>1</v>
      </c>
      <c r="CA63" s="41">
        <v>1</v>
      </c>
      <c r="CB63" s="41">
        <v>1</v>
      </c>
      <c r="CC63" s="41">
        <v>1</v>
      </c>
      <c r="CD63" s="41">
        <v>1</v>
      </c>
      <c r="CE63" s="41">
        <v>1</v>
      </c>
      <c r="CF63" s="41">
        <v>1</v>
      </c>
      <c r="CG63" s="41">
        <v>1</v>
      </c>
      <c r="CH63" s="41">
        <v>1</v>
      </c>
      <c r="CJ63" s="145">
        <f t="shared" si="177"/>
        <v>1</v>
      </c>
      <c r="CK63" s="145">
        <v>3.36</v>
      </c>
      <c r="CL63" s="145">
        <v>3.44</v>
      </c>
      <c r="CM63" s="145">
        <v>3.44</v>
      </c>
      <c r="CN63" s="145">
        <v>3.45</v>
      </c>
      <c r="CO63" s="145">
        <v>3.52</v>
      </c>
      <c r="CP63" s="41">
        <v>3.51</v>
      </c>
      <c r="CQ63" s="41">
        <v>1</v>
      </c>
      <c r="CR63" s="41">
        <v>1</v>
      </c>
      <c r="CS63" s="41">
        <v>1</v>
      </c>
      <c r="CT63" s="41">
        <v>1</v>
      </c>
      <c r="CU63" s="41">
        <v>1</v>
      </c>
      <c r="CV63" s="41">
        <v>1</v>
      </c>
      <c r="CW63" s="41">
        <v>1</v>
      </c>
      <c r="CX63" s="41">
        <v>1</v>
      </c>
      <c r="CY63" s="41">
        <v>1</v>
      </c>
      <c r="CZ63" s="41">
        <v>1</v>
      </c>
      <c r="DA63" s="41">
        <v>1</v>
      </c>
      <c r="DB63" s="41">
        <v>1</v>
      </c>
      <c r="DC63" s="41">
        <v>1</v>
      </c>
      <c r="DD63" s="41">
        <v>1</v>
      </c>
      <c r="DE63" s="41">
        <v>1</v>
      </c>
      <c r="DF63" s="41">
        <v>1</v>
      </c>
      <c r="DG63" s="41">
        <v>1</v>
      </c>
      <c r="DH63" s="41">
        <v>1</v>
      </c>
      <c r="DI63" s="41">
        <v>1</v>
      </c>
      <c r="DJ63" s="41">
        <v>1</v>
      </c>
      <c r="DK63" s="41">
        <v>1</v>
      </c>
      <c r="DL63" s="41">
        <v>1</v>
      </c>
      <c r="DM63" s="41">
        <v>1</v>
      </c>
      <c r="DN63" s="41">
        <v>1</v>
      </c>
      <c r="DP63" s="145">
        <f t="shared" si="178"/>
        <v>1</v>
      </c>
      <c r="DQ63" s="145">
        <v>5.51</v>
      </c>
      <c r="DR63" s="145">
        <v>5.66</v>
      </c>
      <c r="DS63" s="145">
        <v>5.66</v>
      </c>
      <c r="DT63" s="145">
        <v>5.68</v>
      </c>
      <c r="DU63" s="145">
        <v>5.8</v>
      </c>
      <c r="DV63" s="41">
        <v>5.78</v>
      </c>
      <c r="DW63" s="41">
        <v>1</v>
      </c>
      <c r="DX63" s="41">
        <v>1</v>
      </c>
      <c r="DY63" s="41">
        <v>1</v>
      </c>
      <c r="DZ63" s="41">
        <v>1</v>
      </c>
      <c r="EA63" s="41">
        <v>1</v>
      </c>
      <c r="EB63" s="41">
        <v>1</v>
      </c>
      <c r="EC63" s="41">
        <v>1</v>
      </c>
      <c r="ED63" s="41">
        <v>1</v>
      </c>
      <c r="EE63" s="41">
        <v>1</v>
      </c>
      <c r="EF63" s="41">
        <v>1</v>
      </c>
      <c r="EG63" s="41">
        <v>1</v>
      </c>
      <c r="EH63" s="41">
        <v>1</v>
      </c>
      <c r="EI63" s="41">
        <v>1</v>
      </c>
      <c r="EJ63" s="41">
        <v>1</v>
      </c>
      <c r="EK63" s="41">
        <v>1</v>
      </c>
      <c r="EL63" s="41">
        <v>1</v>
      </c>
      <c r="EM63" s="41">
        <v>1</v>
      </c>
      <c r="EN63" s="41">
        <v>1</v>
      </c>
      <c r="EO63" s="41">
        <v>1</v>
      </c>
      <c r="EP63" s="41">
        <v>1</v>
      </c>
      <c r="EQ63" s="41">
        <v>1</v>
      </c>
      <c r="ER63" s="41">
        <v>1</v>
      </c>
      <c r="ES63" s="41">
        <v>1</v>
      </c>
      <c r="ET63" s="41">
        <v>1</v>
      </c>
      <c r="EV63" s="145">
        <f t="shared" si="179"/>
        <v>1</v>
      </c>
      <c r="EW63" s="145">
        <v>3.98</v>
      </c>
      <c r="EX63" s="145">
        <v>4.08</v>
      </c>
      <c r="EY63" s="145">
        <v>4.08</v>
      </c>
      <c r="EZ63" s="145">
        <v>4.0999999999999996</v>
      </c>
      <c r="FA63" s="145">
        <v>4.1900000000000004</v>
      </c>
      <c r="FB63" s="41">
        <v>4.17</v>
      </c>
      <c r="FC63" s="41">
        <v>1</v>
      </c>
      <c r="FD63" s="41">
        <v>1</v>
      </c>
      <c r="FE63" s="41">
        <v>1</v>
      </c>
      <c r="FF63" s="41">
        <v>1</v>
      </c>
      <c r="FG63" s="41">
        <v>1</v>
      </c>
      <c r="FH63" s="41">
        <v>1</v>
      </c>
      <c r="FI63" s="41">
        <v>1</v>
      </c>
      <c r="FJ63" s="41">
        <v>1</v>
      </c>
      <c r="FK63" s="41">
        <v>1</v>
      </c>
      <c r="FL63" s="41">
        <v>1</v>
      </c>
      <c r="FM63" s="41">
        <v>1</v>
      </c>
      <c r="FN63" s="41">
        <v>1</v>
      </c>
      <c r="FO63" s="41">
        <v>1</v>
      </c>
      <c r="FP63" s="41">
        <v>1</v>
      </c>
      <c r="FQ63" s="41">
        <v>1</v>
      </c>
      <c r="FR63" s="41">
        <v>1</v>
      </c>
      <c r="FS63" s="41">
        <v>1</v>
      </c>
      <c r="FT63" s="41">
        <v>1</v>
      </c>
      <c r="FU63" s="41">
        <v>1</v>
      </c>
      <c r="FV63" s="41">
        <v>1</v>
      </c>
      <c r="FW63" s="41">
        <v>1</v>
      </c>
      <c r="FX63" s="41">
        <v>1</v>
      </c>
      <c r="FY63" s="41">
        <v>1</v>
      </c>
      <c r="FZ63" s="41">
        <v>1</v>
      </c>
      <c r="GB63" s="145">
        <f t="shared" si="180"/>
        <v>1</v>
      </c>
      <c r="GC63" s="145">
        <v>13.43</v>
      </c>
      <c r="GD63" s="145">
        <v>13.78</v>
      </c>
      <c r="GE63" s="145">
        <v>13.78</v>
      </c>
      <c r="GF63" s="145">
        <v>13.84</v>
      </c>
      <c r="GG63" s="145">
        <v>14.13</v>
      </c>
      <c r="GH63" s="41">
        <v>14.07</v>
      </c>
      <c r="GI63" s="41">
        <v>1</v>
      </c>
      <c r="GJ63" s="41">
        <v>1</v>
      </c>
      <c r="GK63" s="41">
        <v>1</v>
      </c>
      <c r="GL63" s="41">
        <v>1</v>
      </c>
      <c r="GM63" s="41">
        <v>1</v>
      </c>
      <c r="GN63" s="41">
        <v>1</v>
      </c>
      <c r="GO63" s="41">
        <v>1</v>
      </c>
      <c r="GP63" s="41">
        <v>1</v>
      </c>
      <c r="GQ63" s="41">
        <v>1</v>
      </c>
      <c r="GR63" s="41">
        <v>1</v>
      </c>
      <c r="GS63" s="41">
        <v>1</v>
      </c>
      <c r="GT63" s="41">
        <v>1</v>
      </c>
      <c r="GU63" s="41">
        <v>1</v>
      </c>
      <c r="GV63" s="41">
        <v>1</v>
      </c>
      <c r="GW63" s="41">
        <v>1</v>
      </c>
      <c r="GX63" s="41">
        <v>1</v>
      </c>
      <c r="GY63" s="41">
        <v>1</v>
      </c>
      <c r="GZ63" s="41">
        <v>1</v>
      </c>
      <c r="HA63" s="41">
        <v>1</v>
      </c>
      <c r="HB63" s="41">
        <v>1</v>
      </c>
      <c r="HC63" s="41">
        <v>1</v>
      </c>
      <c r="HD63" s="41">
        <v>1</v>
      </c>
      <c r="HE63" s="41">
        <v>1</v>
      </c>
      <c r="HF63" s="41">
        <v>1</v>
      </c>
      <c r="HH63" s="373">
        <v>1</v>
      </c>
      <c r="HI63" s="218">
        <v>1.1299999999999999</v>
      </c>
      <c r="HJ63" s="229">
        <v>1.1299999999999999</v>
      </c>
      <c r="HK63" s="229">
        <v>1.1299999999999999</v>
      </c>
      <c r="HM63" s="373">
        <f t="shared" si="173"/>
        <v>1</v>
      </c>
      <c r="HN63" s="145">
        <v>1</v>
      </c>
    </row>
    <row r="64" spans="1:228" ht="12.75" hidden="1" customHeight="1" x14ac:dyDescent="0.2">
      <c r="A64" s="373">
        <f t="shared" si="172"/>
        <v>60</v>
      </c>
      <c r="B64" s="149" t="s">
        <v>1320</v>
      </c>
      <c r="C64" s="150">
        <v>1.06</v>
      </c>
      <c r="D64" s="150">
        <v>1.0509999999999999</v>
      </c>
      <c r="E64" s="150">
        <v>1.0940000000000001</v>
      </c>
      <c r="F64" s="150">
        <v>1.0529999999999999</v>
      </c>
      <c r="G64" s="150"/>
      <c r="H64" s="226">
        <f ca="1">OFFSET($HH64,0,'Расчет стоимости'!$M$10,1,1)</f>
        <v>1.1200000000000001</v>
      </c>
      <c r="I64" s="150">
        <v>1</v>
      </c>
      <c r="J64" s="150">
        <v>1</v>
      </c>
      <c r="K64" s="149">
        <v>1</v>
      </c>
      <c r="L64" s="149">
        <v>1</v>
      </c>
      <c r="M64" s="372">
        <v>4.2999999999999997E-2</v>
      </c>
      <c r="N64" s="145">
        <v>3.7000000000000005E-2</v>
      </c>
      <c r="O64" s="145">
        <v>1.7000000000000001E-2</v>
      </c>
      <c r="P64" s="145">
        <v>5.5E-2</v>
      </c>
      <c r="Q64" s="145">
        <v>4.0000000000000001E-3</v>
      </c>
      <c r="R64" s="152" t="s">
        <v>242</v>
      </c>
      <c r="T64" s="225">
        <f t="shared" si="181"/>
        <v>1.0049999999999999</v>
      </c>
      <c r="U64" s="225">
        <f t="shared" si="181"/>
        <v>1.0049999999999999</v>
      </c>
      <c r="V64" s="225">
        <f t="shared" si="181"/>
        <v>1.0049999999999999</v>
      </c>
      <c r="W64" s="225">
        <f t="shared" si="181"/>
        <v>1.0049999999999999</v>
      </c>
      <c r="X64" s="145">
        <f t="shared" si="175"/>
        <v>1</v>
      </c>
      <c r="Y64" s="145">
        <v>6.52</v>
      </c>
      <c r="Z64" s="145">
        <v>6.7</v>
      </c>
      <c r="AA64" s="145">
        <v>6.7</v>
      </c>
      <c r="AB64" s="145">
        <v>6.73</v>
      </c>
      <c r="AC64" s="145">
        <v>6.74</v>
      </c>
      <c r="AD64" s="41">
        <v>5.71</v>
      </c>
      <c r="AE64" s="41">
        <v>1</v>
      </c>
      <c r="AF64" s="41">
        <v>1</v>
      </c>
      <c r="AG64" s="41">
        <v>1</v>
      </c>
      <c r="AH64" s="41">
        <v>1</v>
      </c>
      <c r="AI64" s="41">
        <v>1</v>
      </c>
      <c r="AJ64" s="41">
        <v>1</v>
      </c>
      <c r="AK64" s="41">
        <v>1</v>
      </c>
      <c r="AL64" s="41">
        <v>1</v>
      </c>
      <c r="AM64" s="41">
        <v>1</v>
      </c>
      <c r="AN64" s="41">
        <v>1</v>
      </c>
      <c r="AO64" s="41">
        <v>1</v>
      </c>
      <c r="AP64" s="41">
        <v>1</v>
      </c>
      <c r="AQ64" s="41">
        <v>1</v>
      </c>
      <c r="AR64" s="41">
        <v>1</v>
      </c>
      <c r="AS64" s="41">
        <v>1</v>
      </c>
      <c r="AT64" s="41">
        <v>1</v>
      </c>
      <c r="AU64" s="41">
        <v>1</v>
      </c>
      <c r="AV64" s="41">
        <v>1</v>
      </c>
      <c r="AW64" s="41">
        <v>1</v>
      </c>
      <c r="AX64" s="41">
        <v>1</v>
      </c>
      <c r="AY64" s="41">
        <v>1</v>
      </c>
      <c r="AZ64" s="41">
        <v>1</v>
      </c>
      <c r="BA64" s="41">
        <v>1</v>
      </c>
      <c r="BB64" s="41">
        <v>1</v>
      </c>
      <c r="BD64" s="145">
        <f t="shared" si="176"/>
        <v>1</v>
      </c>
      <c r="BE64" s="145">
        <v>3.67</v>
      </c>
      <c r="BF64" s="145">
        <v>3.69</v>
      </c>
      <c r="BG64" s="145">
        <v>3.69</v>
      </c>
      <c r="BH64" s="145">
        <v>3.7</v>
      </c>
      <c r="BI64" s="145">
        <v>3.77</v>
      </c>
      <c r="BJ64" s="41">
        <v>3.68</v>
      </c>
      <c r="BK64" s="41">
        <v>1</v>
      </c>
      <c r="BL64" s="41">
        <v>1</v>
      </c>
      <c r="BM64" s="41">
        <v>1</v>
      </c>
      <c r="BN64" s="41">
        <v>1</v>
      </c>
      <c r="BO64" s="41">
        <v>1</v>
      </c>
      <c r="BP64" s="41">
        <v>1</v>
      </c>
      <c r="BQ64" s="41">
        <v>1</v>
      </c>
      <c r="BR64" s="41">
        <v>1</v>
      </c>
      <c r="BS64" s="41">
        <v>1</v>
      </c>
      <c r="BT64" s="41">
        <v>1</v>
      </c>
      <c r="BU64" s="41">
        <v>1</v>
      </c>
      <c r="BV64" s="41">
        <v>1</v>
      </c>
      <c r="BW64" s="41">
        <v>1</v>
      </c>
      <c r="BX64" s="41">
        <v>1</v>
      </c>
      <c r="BY64" s="41">
        <v>1</v>
      </c>
      <c r="BZ64" s="41">
        <v>1</v>
      </c>
      <c r="CA64" s="41">
        <v>1</v>
      </c>
      <c r="CB64" s="41">
        <v>1</v>
      </c>
      <c r="CC64" s="41">
        <v>1</v>
      </c>
      <c r="CD64" s="41">
        <v>1</v>
      </c>
      <c r="CE64" s="41">
        <v>1</v>
      </c>
      <c r="CF64" s="41">
        <v>1</v>
      </c>
      <c r="CG64" s="41">
        <v>1</v>
      </c>
      <c r="CH64" s="41">
        <v>1</v>
      </c>
      <c r="CJ64" s="145">
        <f t="shared" si="177"/>
        <v>1</v>
      </c>
      <c r="CK64" s="145">
        <v>3.94</v>
      </c>
      <c r="CL64" s="145">
        <v>3.94</v>
      </c>
      <c r="CM64" s="145">
        <v>3.94</v>
      </c>
      <c r="CN64" s="145">
        <v>3.96</v>
      </c>
      <c r="CO64" s="145">
        <v>4.04</v>
      </c>
      <c r="CP64" s="41">
        <v>4.0199999999999996</v>
      </c>
      <c r="CQ64" s="41">
        <v>1</v>
      </c>
      <c r="CR64" s="41">
        <v>1</v>
      </c>
      <c r="CS64" s="41">
        <v>1</v>
      </c>
      <c r="CT64" s="41">
        <v>1</v>
      </c>
      <c r="CU64" s="41">
        <v>1</v>
      </c>
      <c r="CV64" s="41">
        <v>1</v>
      </c>
      <c r="CW64" s="41">
        <v>1</v>
      </c>
      <c r="CX64" s="41">
        <v>1</v>
      </c>
      <c r="CY64" s="41">
        <v>1</v>
      </c>
      <c r="CZ64" s="41">
        <v>1</v>
      </c>
      <c r="DA64" s="41">
        <v>1</v>
      </c>
      <c r="DB64" s="41">
        <v>1</v>
      </c>
      <c r="DC64" s="41">
        <v>1</v>
      </c>
      <c r="DD64" s="41">
        <v>1</v>
      </c>
      <c r="DE64" s="41">
        <v>1</v>
      </c>
      <c r="DF64" s="41">
        <v>1</v>
      </c>
      <c r="DG64" s="41">
        <v>1</v>
      </c>
      <c r="DH64" s="41">
        <v>1</v>
      </c>
      <c r="DI64" s="41">
        <v>1</v>
      </c>
      <c r="DJ64" s="41">
        <v>1</v>
      </c>
      <c r="DK64" s="41">
        <v>1</v>
      </c>
      <c r="DL64" s="41">
        <v>1</v>
      </c>
      <c r="DM64" s="41">
        <v>1</v>
      </c>
      <c r="DN64" s="41">
        <v>1</v>
      </c>
      <c r="DP64" s="145">
        <f t="shared" si="178"/>
        <v>1</v>
      </c>
      <c r="DQ64" s="145">
        <v>4.4000000000000004</v>
      </c>
      <c r="DR64" s="145">
        <v>4.51</v>
      </c>
      <c r="DS64" s="145">
        <v>4.51</v>
      </c>
      <c r="DT64" s="145">
        <v>4.53</v>
      </c>
      <c r="DU64" s="145">
        <v>4.63</v>
      </c>
      <c r="DV64" s="41">
        <v>4.6100000000000003</v>
      </c>
      <c r="DW64" s="41">
        <v>1</v>
      </c>
      <c r="DX64" s="41">
        <v>1</v>
      </c>
      <c r="DY64" s="41">
        <v>1</v>
      </c>
      <c r="DZ64" s="41">
        <v>1</v>
      </c>
      <c r="EA64" s="41">
        <v>1</v>
      </c>
      <c r="EB64" s="41">
        <v>1</v>
      </c>
      <c r="EC64" s="41">
        <v>1</v>
      </c>
      <c r="ED64" s="41">
        <v>1</v>
      </c>
      <c r="EE64" s="41">
        <v>1</v>
      </c>
      <c r="EF64" s="41">
        <v>1</v>
      </c>
      <c r="EG64" s="41">
        <v>1</v>
      </c>
      <c r="EH64" s="41">
        <v>1</v>
      </c>
      <c r="EI64" s="41">
        <v>1</v>
      </c>
      <c r="EJ64" s="41">
        <v>1</v>
      </c>
      <c r="EK64" s="41">
        <v>1</v>
      </c>
      <c r="EL64" s="41">
        <v>1</v>
      </c>
      <c r="EM64" s="41">
        <v>1</v>
      </c>
      <c r="EN64" s="41">
        <v>1</v>
      </c>
      <c r="EO64" s="41">
        <v>1</v>
      </c>
      <c r="EP64" s="41">
        <v>1</v>
      </c>
      <c r="EQ64" s="41">
        <v>1</v>
      </c>
      <c r="ER64" s="41">
        <v>1</v>
      </c>
      <c r="ES64" s="41">
        <v>1</v>
      </c>
      <c r="ET64" s="41">
        <v>1</v>
      </c>
      <c r="EV64" s="145">
        <f t="shared" si="179"/>
        <v>1</v>
      </c>
      <c r="EW64" s="145">
        <v>2.98</v>
      </c>
      <c r="EX64" s="145">
        <v>3.06</v>
      </c>
      <c r="EY64" s="145">
        <v>3.06</v>
      </c>
      <c r="EZ64" s="145">
        <v>3.07</v>
      </c>
      <c r="FA64" s="145">
        <v>3.13</v>
      </c>
      <c r="FB64" s="41">
        <v>3.12</v>
      </c>
      <c r="FC64" s="41">
        <v>1</v>
      </c>
      <c r="FD64" s="41">
        <v>1</v>
      </c>
      <c r="FE64" s="41">
        <v>1</v>
      </c>
      <c r="FF64" s="41">
        <v>1</v>
      </c>
      <c r="FG64" s="41">
        <v>1</v>
      </c>
      <c r="FH64" s="41">
        <v>1</v>
      </c>
      <c r="FI64" s="41">
        <v>1</v>
      </c>
      <c r="FJ64" s="41">
        <v>1</v>
      </c>
      <c r="FK64" s="41">
        <v>1</v>
      </c>
      <c r="FL64" s="41">
        <v>1</v>
      </c>
      <c r="FM64" s="41">
        <v>1</v>
      </c>
      <c r="FN64" s="41">
        <v>1</v>
      </c>
      <c r="FO64" s="41">
        <v>1</v>
      </c>
      <c r="FP64" s="41">
        <v>1</v>
      </c>
      <c r="FQ64" s="41">
        <v>1</v>
      </c>
      <c r="FR64" s="41">
        <v>1</v>
      </c>
      <c r="FS64" s="41">
        <v>1</v>
      </c>
      <c r="FT64" s="41">
        <v>1</v>
      </c>
      <c r="FU64" s="41">
        <v>1</v>
      </c>
      <c r="FV64" s="41">
        <v>1</v>
      </c>
      <c r="FW64" s="41">
        <v>1</v>
      </c>
      <c r="FX64" s="41">
        <v>1</v>
      </c>
      <c r="FY64" s="41">
        <v>1</v>
      </c>
      <c r="FZ64" s="41">
        <v>1</v>
      </c>
      <c r="GB64" s="145">
        <f t="shared" si="180"/>
        <v>1</v>
      </c>
      <c r="GC64" s="145">
        <v>14.12</v>
      </c>
      <c r="GD64" s="145">
        <v>14.49</v>
      </c>
      <c r="GE64" s="145">
        <v>14.49</v>
      </c>
      <c r="GF64" s="145">
        <v>14.55</v>
      </c>
      <c r="GG64" s="145">
        <v>14.86</v>
      </c>
      <c r="GH64" s="41">
        <v>14.8</v>
      </c>
      <c r="GI64" s="41">
        <v>1</v>
      </c>
      <c r="GJ64" s="41">
        <v>1</v>
      </c>
      <c r="GK64" s="41">
        <v>1</v>
      </c>
      <c r="GL64" s="41">
        <v>1</v>
      </c>
      <c r="GM64" s="41">
        <v>1</v>
      </c>
      <c r="GN64" s="41">
        <v>1</v>
      </c>
      <c r="GO64" s="41">
        <v>1</v>
      </c>
      <c r="GP64" s="41">
        <v>1</v>
      </c>
      <c r="GQ64" s="41">
        <v>1</v>
      </c>
      <c r="GR64" s="41">
        <v>1</v>
      </c>
      <c r="GS64" s="41">
        <v>1</v>
      </c>
      <c r="GT64" s="41">
        <v>1</v>
      </c>
      <c r="GU64" s="41">
        <v>1</v>
      </c>
      <c r="GV64" s="41">
        <v>1</v>
      </c>
      <c r="GW64" s="41">
        <v>1</v>
      </c>
      <c r="GX64" s="41">
        <v>1</v>
      </c>
      <c r="GY64" s="41">
        <v>1</v>
      </c>
      <c r="GZ64" s="41">
        <v>1</v>
      </c>
      <c r="HA64" s="41">
        <v>1</v>
      </c>
      <c r="HB64" s="41">
        <v>1</v>
      </c>
      <c r="HC64" s="41">
        <v>1</v>
      </c>
      <c r="HD64" s="41">
        <v>1</v>
      </c>
      <c r="HE64" s="41">
        <v>1</v>
      </c>
      <c r="HF64" s="41">
        <v>1</v>
      </c>
      <c r="HH64" s="373">
        <v>2</v>
      </c>
      <c r="HI64" s="218">
        <v>1.0900000000000001</v>
      </c>
      <c r="HJ64" s="41">
        <v>1.1200000000000001</v>
      </c>
      <c r="HK64" s="41">
        <v>1.1200000000000001</v>
      </c>
      <c r="HM64" s="373">
        <f t="shared" si="173"/>
        <v>6</v>
      </c>
      <c r="HN64" s="145">
        <v>1</v>
      </c>
      <c r="HO64" s="219">
        <v>1.008</v>
      </c>
      <c r="HP64" s="219">
        <v>1.0029999999999999</v>
      </c>
      <c r="HQ64" s="219">
        <v>1.0049999999999999</v>
      </c>
      <c r="HR64" s="219">
        <v>1.006</v>
      </c>
      <c r="HS64" s="219">
        <v>1.091</v>
      </c>
    </row>
    <row r="65" spans="1:240" ht="12.75" hidden="1" customHeight="1" x14ac:dyDescent="0.2">
      <c r="A65" s="373">
        <f t="shared" si="172"/>
        <v>61</v>
      </c>
      <c r="B65" s="149" t="s">
        <v>164</v>
      </c>
      <c r="C65" s="150">
        <v>1.069</v>
      </c>
      <c r="D65" s="150">
        <v>1.0069999999999999</v>
      </c>
      <c r="E65" s="150">
        <v>1.2649999999999999</v>
      </c>
      <c r="F65" s="150">
        <v>1.129</v>
      </c>
      <c r="G65" s="150"/>
      <c r="H65" s="226">
        <f ca="1">OFFSET($HH65,0,'Расчет стоимости'!$M$10,1,1)</f>
        <v>1.1200000000000001</v>
      </c>
      <c r="I65" s="150">
        <v>1</v>
      </c>
      <c r="J65" s="150">
        <v>1</v>
      </c>
      <c r="K65" s="149">
        <v>1</v>
      </c>
      <c r="L65" s="149">
        <v>1</v>
      </c>
      <c r="M65" s="372">
        <v>3.2000000000000001E-2</v>
      </c>
      <c r="N65" s="145">
        <v>2.8999999999999998E-2</v>
      </c>
      <c r="O65" s="145">
        <v>1.3000000000000001E-2</v>
      </c>
      <c r="P65" s="145">
        <v>0.04</v>
      </c>
      <c r="Q65" s="145">
        <v>3.0000000000000001E-3</v>
      </c>
      <c r="R65" s="152" t="s">
        <v>236</v>
      </c>
      <c r="T65" s="225">
        <f t="shared" si="181"/>
        <v>1</v>
      </c>
      <c r="U65" s="225">
        <f t="shared" si="181"/>
        <v>1</v>
      </c>
      <c r="V65" s="225">
        <f t="shared" si="181"/>
        <v>1</v>
      </c>
      <c r="W65" s="225">
        <f t="shared" si="181"/>
        <v>1</v>
      </c>
      <c r="X65" s="145">
        <f t="shared" si="175"/>
        <v>1</v>
      </c>
      <c r="Y65" s="145">
        <v>5.45</v>
      </c>
      <c r="Z65" s="145">
        <v>5.59</v>
      </c>
      <c r="AA65" s="145">
        <v>5.59</v>
      </c>
      <c r="AB65" s="145">
        <v>5.61</v>
      </c>
      <c r="AC65" s="145">
        <v>5.73</v>
      </c>
      <c r="AD65" s="41">
        <v>5.71</v>
      </c>
      <c r="AE65" s="41">
        <v>1</v>
      </c>
      <c r="AF65" s="41">
        <v>1</v>
      </c>
      <c r="AG65" s="41">
        <v>1</v>
      </c>
      <c r="AH65" s="41">
        <v>1</v>
      </c>
      <c r="AI65" s="41">
        <v>1</v>
      </c>
      <c r="AJ65" s="41">
        <v>1</v>
      </c>
      <c r="AK65" s="41">
        <v>1</v>
      </c>
      <c r="AL65" s="41">
        <v>1</v>
      </c>
      <c r="AM65" s="41">
        <v>1</v>
      </c>
      <c r="AN65" s="41">
        <v>1</v>
      </c>
      <c r="AO65" s="41">
        <v>1</v>
      </c>
      <c r="AP65" s="41">
        <v>1</v>
      </c>
      <c r="AQ65" s="41">
        <v>1</v>
      </c>
      <c r="AR65" s="41">
        <v>1</v>
      </c>
      <c r="AS65" s="41">
        <v>1</v>
      </c>
      <c r="AT65" s="41">
        <v>1</v>
      </c>
      <c r="AU65" s="41">
        <v>1</v>
      </c>
      <c r="AV65" s="41">
        <v>1</v>
      </c>
      <c r="AW65" s="41">
        <v>1</v>
      </c>
      <c r="AX65" s="41">
        <v>1</v>
      </c>
      <c r="AY65" s="41">
        <v>1</v>
      </c>
      <c r="AZ65" s="41">
        <v>1</v>
      </c>
      <c r="BA65" s="41">
        <v>1</v>
      </c>
      <c r="BB65" s="41">
        <v>1</v>
      </c>
      <c r="BD65" s="145">
        <f t="shared" si="176"/>
        <v>1</v>
      </c>
      <c r="BE65" s="145">
        <v>3.67</v>
      </c>
      <c r="BF65" s="145">
        <v>3.71</v>
      </c>
      <c r="BG65" s="145">
        <v>3.71</v>
      </c>
      <c r="BH65" s="145">
        <v>3.72</v>
      </c>
      <c r="BI65" s="145">
        <v>3.72</v>
      </c>
      <c r="BJ65" s="41">
        <v>3.63</v>
      </c>
      <c r="BK65" s="41">
        <v>1</v>
      </c>
      <c r="BL65" s="41">
        <v>1</v>
      </c>
      <c r="BM65" s="41">
        <v>1</v>
      </c>
      <c r="BN65" s="41">
        <v>1</v>
      </c>
      <c r="BO65" s="41">
        <v>1</v>
      </c>
      <c r="BP65" s="41">
        <v>1</v>
      </c>
      <c r="BQ65" s="41">
        <v>1</v>
      </c>
      <c r="BR65" s="41">
        <v>1</v>
      </c>
      <c r="BS65" s="41">
        <v>1</v>
      </c>
      <c r="BT65" s="41">
        <v>1</v>
      </c>
      <c r="BU65" s="41">
        <v>1</v>
      </c>
      <c r="BV65" s="41">
        <v>1</v>
      </c>
      <c r="BW65" s="41">
        <v>1</v>
      </c>
      <c r="BX65" s="41">
        <v>1</v>
      </c>
      <c r="BY65" s="41">
        <v>1</v>
      </c>
      <c r="BZ65" s="41">
        <v>1</v>
      </c>
      <c r="CA65" s="41">
        <v>1</v>
      </c>
      <c r="CB65" s="41">
        <v>1</v>
      </c>
      <c r="CC65" s="41">
        <v>1</v>
      </c>
      <c r="CD65" s="41">
        <v>1</v>
      </c>
      <c r="CE65" s="41">
        <v>1</v>
      </c>
      <c r="CF65" s="41">
        <v>1</v>
      </c>
      <c r="CG65" s="41">
        <v>1</v>
      </c>
      <c r="CH65" s="41">
        <v>1</v>
      </c>
      <c r="CJ65" s="145">
        <f t="shared" si="177"/>
        <v>1</v>
      </c>
      <c r="CK65" s="145">
        <v>4.5</v>
      </c>
      <c r="CL65" s="145">
        <v>4.62</v>
      </c>
      <c r="CM65" s="145">
        <v>4.62</v>
      </c>
      <c r="CN65" s="145">
        <v>4.6399999999999997</v>
      </c>
      <c r="CO65" s="145">
        <v>4.74</v>
      </c>
      <c r="CP65" s="41">
        <v>4.72</v>
      </c>
      <c r="CQ65" s="41">
        <v>1</v>
      </c>
      <c r="CR65" s="41">
        <v>1</v>
      </c>
      <c r="CS65" s="41">
        <v>1</v>
      </c>
      <c r="CT65" s="41">
        <v>1</v>
      </c>
      <c r="CU65" s="41">
        <v>1</v>
      </c>
      <c r="CV65" s="41">
        <v>1</v>
      </c>
      <c r="CW65" s="41">
        <v>1</v>
      </c>
      <c r="CX65" s="41">
        <v>1</v>
      </c>
      <c r="CY65" s="41">
        <v>1</v>
      </c>
      <c r="CZ65" s="41">
        <v>1</v>
      </c>
      <c r="DA65" s="41">
        <v>1</v>
      </c>
      <c r="DB65" s="41">
        <v>1</v>
      </c>
      <c r="DC65" s="41">
        <v>1</v>
      </c>
      <c r="DD65" s="41">
        <v>1</v>
      </c>
      <c r="DE65" s="41">
        <v>1</v>
      </c>
      <c r="DF65" s="41">
        <v>1</v>
      </c>
      <c r="DG65" s="41">
        <v>1</v>
      </c>
      <c r="DH65" s="41">
        <v>1</v>
      </c>
      <c r="DI65" s="41">
        <v>1</v>
      </c>
      <c r="DJ65" s="41">
        <v>1</v>
      </c>
      <c r="DK65" s="41">
        <v>1</v>
      </c>
      <c r="DL65" s="41">
        <v>1</v>
      </c>
      <c r="DM65" s="41">
        <v>1</v>
      </c>
      <c r="DN65" s="41">
        <v>1</v>
      </c>
      <c r="DP65" s="145">
        <f t="shared" si="178"/>
        <v>1</v>
      </c>
      <c r="DQ65" s="145">
        <v>4.4000000000000004</v>
      </c>
      <c r="DR65" s="145">
        <v>4.51</v>
      </c>
      <c r="DS65" s="145">
        <v>4.51</v>
      </c>
      <c r="DT65" s="145">
        <v>4.53</v>
      </c>
      <c r="DU65" s="145">
        <v>4.63</v>
      </c>
      <c r="DV65" s="41">
        <v>4.6100000000000003</v>
      </c>
      <c r="DW65" s="41">
        <v>1</v>
      </c>
      <c r="DX65" s="41">
        <v>1</v>
      </c>
      <c r="DY65" s="41">
        <v>1</v>
      </c>
      <c r="DZ65" s="41">
        <v>1</v>
      </c>
      <c r="EA65" s="41">
        <v>1</v>
      </c>
      <c r="EB65" s="41">
        <v>1</v>
      </c>
      <c r="EC65" s="41">
        <v>1</v>
      </c>
      <c r="ED65" s="41">
        <v>1</v>
      </c>
      <c r="EE65" s="41">
        <v>1</v>
      </c>
      <c r="EF65" s="41">
        <v>1</v>
      </c>
      <c r="EG65" s="41">
        <v>1</v>
      </c>
      <c r="EH65" s="41">
        <v>1</v>
      </c>
      <c r="EI65" s="41">
        <v>1</v>
      </c>
      <c r="EJ65" s="41">
        <v>1</v>
      </c>
      <c r="EK65" s="41">
        <v>1</v>
      </c>
      <c r="EL65" s="41">
        <v>1</v>
      </c>
      <c r="EM65" s="41">
        <v>1</v>
      </c>
      <c r="EN65" s="41">
        <v>1</v>
      </c>
      <c r="EO65" s="41">
        <v>1</v>
      </c>
      <c r="EP65" s="41">
        <v>1</v>
      </c>
      <c r="EQ65" s="41">
        <v>1</v>
      </c>
      <c r="ER65" s="41">
        <v>1</v>
      </c>
      <c r="ES65" s="41">
        <v>1</v>
      </c>
      <c r="ET65" s="41">
        <v>1</v>
      </c>
      <c r="EV65" s="145">
        <f t="shared" si="179"/>
        <v>1</v>
      </c>
      <c r="EW65" s="145">
        <v>5.0999999999999996</v>
      </c>
      <c r="EX65" s="145">
        <v>5.23</v>
      </c>
      <c r="EY65" s="145">
        <v>5.23</v>
      </c>
      <c r="EZ65" s="145">
        <v>5.24</v>
      </c>
      <c r="FA65" s="145">
        <v>5.35</v>
      </c>
      <c r="FB65" s="41">
        <v>5.33</v>
      </c>
      <c r="FC65" s="41">
        <v>1</v>
      </c>
      <c r="FD65" s="41">
        <v>1</v>
      </c>
      <c r="FE65" s="41">
        <v>1</v>
      </c>
      <c r="FF65" s="41">
        <v>1</v>
      </c>
      <c r="FG65" s="41">
        <v>1</v>
      </c>
      <c r="FH65" s="41">
        <v>1</v>
      </c>
      <c r="FI65" s="41">
        <v>1</v>
      </c>
      <c r="FJ65" s="41">
        <v>1</v>
      </c>
      <c r="FK65" s="41">
        <v>1</v>
      </c>
      <c r="FL65" s="41">
        <v>1</v>
      </c>
      <c r="FM65" s="41">
        <v>1</v>
      </c>
      <c r="FN65" s="41">
        <v>1</v>
      </c>
      <c r="FO65" s="41">
        <v>1</v>
      </c>
      <c r="FP65" s="41">
        <v>1</v>
      </c>
      <c r="FQ65" s="41">
        <v>1</v>
      </c>
      <c r="FR65" s="41">
        <v>1</v>
      </c>
      <c r="FS65" s="41">
        <v>1</v>
      </c>
      <c r="FT65" s="41">
        <v>1</v>
      </c>
      <c r="FU65" s="41">
        <v>1</v>
      </c>
      <c r="FV65" s="41">
        <v>1</v>
      </c>
      <c r="FW65" s="41">
        <v>1</v>
      </c>
      <c r="FX65" s="41">
        <v>1</v>
      </c>
      <c r="FY65" s="41">
        <v>1</v>
      </c>
      <c r="FZ65" s="41">
        <v>1</v>
      </c>
      <c r="GB65" s="145">
        <f t="shared" si="180"/>
        <v>1</v>
      </c>
      <c r="GC65" s="145">
        <v>11.81</v>
      </c>
      <c r="GD65" s="145">
        <v>12.12</v>
      </c>
      <c r="GE65" s="145">
        <v>12.12</v>
      </c>
      <c r="GF65" s="145">
        <v>12.17</v>
      </c>
      <c r="GG65" s="145">
        <v>12.43</v>
      </c>
      <c r="GH65" s="41">
        <v>12.38</v>
      </c>
      <c r="GI65" s="41">
        <v>1</v>
      </c>
      <c r="GJ65" s="41">
        <v>1</v>
      </c>
      <c r="GK65" s="41">
        <v>1</v>
      </c>
      <c r="GL65" s="41">
        <v>1</v>
      </c>
      <c r="GM65" s="41">
        <v>1</v>
      </c>
      <c r="GN65" s="41">
        <v>1</v>
      </c>
      <c r="GO65" s="41">
        <v>1</v>
      </c>
      <c r="GP65" s="41">
        <v>1</v>
      </c>
      <c r="GQ65" s="41">
        <v>1</v>
      </c>
      <c r="GR65" s="41">
        <v>1</v>
      </c>
      <c r="GS65" s="41">
        <v>1</v>
      </c>
      <c r="GT65" s="41">
        <v>1</v>
      </c>
      <c r="GU65" s="41">
        <v>1</v>
      </c>
      <c r="GV65" s="41">
        <v>1</v>
      </c>
      <c r="GW65" s="41">
        <v>1</v>
      </c>
      <c r="GX65" s="41">
        <v>1</v>
      </c>
      <c r="GY65" s="41">
        <v>1</v>
      </c>
      <c r="GZ65" s="41">
        <v>1</v>
      </c>
      <c r="HA65" s="41">
        <v>1</v>
      </c>
      <c r="HB65" s="41">
        <v>1</v>
      </c>
      <c r="HC65" s="41">
        <v>1</v>
      </c>
      <c r="HD65" s="41">
        <v>1</v>
      </c>
      <c r="HE65" s="41">
        <v>1</v>
      </c>
      <c r="HF65" s="41">
        <v>1</v>
      </c>
      <c r="HH65" s="373">
        <v>1</v>
      </c>
      <c r="HI65" s="218">
        <v>1.1200000000000001</v>
      </c>
      <c r="HJ65" s="229">
        <v>1.1200000000000001</v>
      </c>
      <c r="HK65" s="229">
        <v>1.1200000000000001</v>
      </c>
      <c r="HM65" s="373">
        <f t="shared" si="173"/>
        <v>1</v>
      </c>
      <c r="HN65" s="145">
        <v>1</v>
      </c>
    </row>
    <row r="66" spans="1:240" ht="12.75" hidden="1" customHeight="1" x14ac:dyDescent="0.2">
      <c r="A66" s="373">
        <f t="shared" si="172"/>
        <v>62</v>
      </c>
      <c r="B66" s="149" t="s">
        <v>166</v>
      </c>
      <c r="C66" s="150">
        <v>2.09</v>
      </c>
      <c r="D66" s="150">
        <v>1.7969999999999999</v>
      </c>
      <c r="E66" s="150">
        <v>3.1480000000000001</v>
      </c>
      <c r="F66" s="150">
        <v>1.9470000000000001</v>
      </c>
      <c r="G66" s="150"/>
      <c r="H66" s="226">
        <f ca="1">OFFSET($HH66,0,'Расчет стоимости'!$M$10,1,1)</f>
        <v>1.19</v>
      </c>
      <c r="I66" s="150">
        <v>1</v>
      </c>
      <c r="J66" s="150">
        <v>1</v>
      </c>
      <c r="K66" s="149">
        <v>1</v>
      </c>
      <c r="L66" s="149">
        <v>1</v>
      </c>
      <c r="M66" s="372">
        <v>4.2999999999999997E-2</v>
      </c>
      <c r="N66" s="145">
        <v>3.7000000000000005E-2</v>
      </c>
      <c r="O66" s="145">
        <v>1.7000000000000001E-2</v>
      </c>
      <c r="P66" s="145">
        <v>5.5E-2</v>
      </c>
      <c r="Q66" s="145">
        <v>4.0000000000000001E-3</v>
      </c>
      <c r="R66" s="152" t="s">
        <v>242</v>
      </c>
      <c r="S66" s="145" t="s">
        <v>266</v>
      </c>
      <c r="T66" s="225">
        <f t="shared" ref="T66:W85" si="182">IF(IFERROR(HLOOKUP(T$5,$HN$5:$IQ$91,$A66,FALSE),0)=0,1,HLOOKUP(T$5,$HN$5:$IQ$91,$A66,FALSE))</f>
        <v>0.97799999999999998</v>
      </c>
      <c r="U66" s="225">
        <f t="shared" si="182"/>
        <v>0.97799999999999998</v>
      </c>
      <c r="V66" s="225">
        <f t="shared" si="182"/>
        <v>0.97799999999999998</v>
      </c>
      <c r="W66" s="225">
        <f t="shared" si="182"/>
        <v>0.97799999999999998</v>
      </c>
      <c r="X66" s="145">
        <f t="shared" si="175"/>
        <v>1</v>
      </c>
      <c r="Y66" s="145">
        <v>7.1</v>
      </c>
      <c r="Z66" s="145">
        <v>7.21</v>
      </c>
      <c r="AA66" s="145">
        <v>7.21</v>
      </c>
      <c r="AB66" s="145">
        <v>7.24</v>
      </c>
      <c r="AC66" s="145">
        <v>7.39</v>
      </c>
      <c r="AD66" s="41">
        <v>7.36</v>
      </c>
      <c r="AE66" s="41">
        <v>1</v>
      </c>
      <c r="AF66" s="41">
        <v>1</v>
      </c>
      <c r="AG66" s="41">
        <v>1</v>
      </c>
      <c r="AH66" s="41">
        <v>1</v>
      </c>
      <c r="AI66" s="41">
        <v>1</v>
      </c>
      <c r="AJ66" s="41">
        <v>1</v>
      </c>
      <c r="AK66" s="41">
        <v>1</v>
      </c>
      <c r="AL66" s="41">
        <v>1</v>
      </c>
      <c r="AM66" s="41">
        <v>1</v>
      </c>
      <c r="AN66" s="41">
        <v>1</v>
      </c>
      <c r="AO66" s="41">
        <v>1</v>
      </c>
      <c r="AP66" s="41">
        <v>1</v>
      </c>
      <c r="AQ66" s="41">
        <v>1</v>
      </c>
      <c r="AR66" s="41">
        <v>1</v>
      </c>
      <c r="AS66" s="41">
        <v>1</v>
      </c>
      <c r="AT66" s="41">
        <v>1</v>
      </c>
      <c r="AU66" s="41">
        <v>1</v>
      </c>
      <c r="AV66" s="41">
        <v>1</v>
      </c>
      <c r="AW66" s="41">
        <v>1</v>
      </c>
      <c r="AX66" s="41">
        <v>1</v>
      </c>
      <c r="AY66" s="41">
        <v>1</v>
      </c>
      <c r="AZ66" s="41">
        <v>1</v>
      </c>
      <c r="BA66" s="41">
        <v>1</v>
      </c>
      <c r="BB66" s="41">
        <v>1</v>
      </c>
      <c r="BD66" s="145">
        <f t="shared" si="176"/>
        <v>1</v>
      </c>
      <c r="BE66" s="145">
        <v>4.38</v>
      </c>
      <c r="BF66" s="145">
        <v>4.38</v>
      </c>
      <c r="BG66" s="145">
        <v>4.38</v>
      </c>
      <c r="BH66" s="145">
        <v>4.4000000000000004</v>
      </c>
      <c r="BI66" s="145">
        <v>4.49</v>
      </c>
      <c r="BJ66" s="41">
        <v>4.47</v>
      </c>
      <c r="BK66" s="41">
        <v>1</v>
      </c>
      <c r="BL66" s="41">
        <v>1</v>
      </c>
      <c r="BM66" s="41">
        <v>1</v>
      </c>
      <c r="BN66" s="41">
        <v>1</v>
      </c>
      <c r="BO66" s="41">
        <v>1</v>
      </c>
      <c r="BP66" s="41">
        <v>1</v>
      </c>
      <c r="BQ66" s="41">
        <v>1</v>
      </c>
      <c r="BR66" s="41">
        <v>1</v>
      </c>
      <c r="BS66" s="41">
        <v>1</v>
      </c>
      <c r="BT66" s="41">
        <v>1</v>
      </c>
      <c r="BU66" s="41">
        <v>1</v>
      </c>
      <c r="BV66" s="41">
        <v>1</v>
      </c>
      <c r="BW66" s="41">
        <v>1</v>
      </c>
      <c r="BX66" s="41">
        <v>1</v>
      </c>
      <c r="BY66" s="41">
        <v>1</v>
      </c>
      <c r="BZ66" s="41">
        <v>1</v>
      </c>
      <c r="CA66" s="41">
        <v>1</v>
      </c>
      <c r="CB66" s="41">
        <v>1</v>
      </c>
      <c r="CC66" s="41">
        <v>1</v>
      </c>
      <c r="CD66" s="41">
        <v>1</v>
      </c>
      <c r="CE66" s="41">
        <v>1</v>
      </c>
      <c r="CF66" s="41">
        <v>1</v>
      </c>
      <c r="CG66" s="41">
        <v>1</v>
      </c>
      <c r="CH66" s="41">
        <v>1</v>
      </c>
      <c r="CJ66" s="145">
        <f t="shared" si="177"/>
        <v>1</v>
      </c>
      <c r="CK66" s="145">
        <v>5.14</v>
      </c>
      <c r="CL66" s="145">
        <v>5.16</v>
      </c>
      <c r="CM66" s="145">
        <v>5.16</v>
      </c>
      <c r="CN66" s="145">
        <v>5.18</v>
      </c>
      <c r="CO66" s="145">
        <v>5.29</v>
      </c>
      <c r="CP66" s="41">
        <v>5.27</v>
      </c>
      <c r="CQ66" s="41">
        <v>1</v>
      </c>
      <c r="CR66" s="41">
        <v>1</v>
      </c>
      <c r="CS66" s="41">
        <v>1</v>
      </c>
      <c r="CT66" s="41">
        <v>1</v>
      </c>
      <c r="CU66" s="41">
        <v>1</v>
      </c>
      <c r="CV66" s="41">
        <v>1</v>
      </c>
      <c r="CW66" s="41">
        <v>1</v>
      </c>
      <c r="CX66" s="41">
        <v>1</v>
      </c>
      <c r="CY66" s="41">
        <v>1</v>
      </c>
      <c r="CZ66" s="41">
        <v>1</v>
      </c>
      <c r="DA66" s="41">
        <v>1</v>
      </c>
      <c r="DB66" s="41">
        <v>1</v>
      </c>
      <c r="DC66" s="41">
        <v>1</v>
      </c>
      <c r="DD66" s="41">
        <v>1</v>
      </c>
      <c r="DE66" s="41">
        <v>1</v>
      </c>
      <c r="DF66" s="41">
        <v>1</v>
      </c>
      <c r="DG66" s="41">
        <v>1</v>
      </c>
      <c r="DH66" s="41">
        <v>1</v>
      </c>
      <c r="DI66" s="41">
        <v>1</v>
      </c>
      <c r="DJ66" s="41">
        <v>1</v>
      </c>
      <c r="DK66" s="41">
        <v>1</v>
      </c>
      <c r="DL66" s="41">
        <v>1</v>
      </c>
      <c r="DM66" s="41">
        <v>1</v>
      </c>
      <c r="DN66" s="41">
        <v>1</v>
      </c>
      <c r="DP66" s="145">
        <f t="shared" si="178"/>
        <v>1</v>
      </c>
      <c r="DQ66" s="145">
        <v>6.07</v>
      </c>
      <c r="DR66" s="145">
        <v>6.12</v>
      </c>
      <c r="DS66" s="145">
        <v>6.12</v>
      </c>
      <c r="DT66" s="145">
        <v>6.14</v>
      </c>
      <c r="DU66" s="145">
        <v>6.27</v>
      </c>
      <c r="DV66" s="41">
        <v>6.24</v>
      </c>
      <c r="DW66" s="41">
        <v>1</v>
      </c>
      <c r="DX66" s="41">
        <v>1</v>
      </c>
      <c r="DY66" s="41">
        <v>1</v>
      </c>
      <c r="DZ66" s="41">
        <v>1</v>
      </c>
      <c r="EA66" s="41">
        <v>1</v>
      </c>
      <c r="EB66" s="41">
        <v>1</v>
      </c>
      <c r="EC66" s="41">
        <v>1</v>
      </c>
      <c r="ED66" s="41">
        <v>1</v>
      </c>
      <c r="EE66" s="41">
        <v>1</v>
      </c>
      <c r="EF66" s="41">
        <v>1</v>
      </c>
      <c r="EG66" s="41">
        <v>1</v>
      </c>
      <c r="EH66" s="41">
        <v>1</v>
      </c>
      <c r="EI66" s="41">
        <v>1</v>
      </c>
      <c r="EJ66" s="41">
        <v>1</v>
      </c>
      <c r="EK66" s="41">
        <v>1</v>
      </c>
      <c r="EL66" s="41">
        <v>1</v>
      </c>
      <c r="EM66" s="41">
        <v>1</v>
      </c>
      <c r="EN66" s="41">
        <v>1</v>
      </c>
      <c r="EO66" s="41">
        <v>1</v>
      </c>
      <c r="EP66" s="41">
        <v>1</v>
      </c>
      <c r="EQ66" s="41">
        <v>1</v>
      </c>
      <c r="ER66" s="41">
        <v>1</v>
      </c>
      <c r="ES66" s="41">
        <v>1</v>
      </c>
      <c r="ET66" s="41">
        <v>1</v>
      </c>
      <c r="EV66" s="145">
        <f t="shared" si="179"/>
        <v>1</v>
      </c>
      <c r="EW66" s="145">
        <v>6.08</v>
      </c>
      <c r="EX66" s="145">
        <v>6.12</v>
      </c>
      <c r="EY66" s="145">
        <v>6.12</v>
      </c>
      <c r="EZ66" s="145">
        <v>6.14</v>
      </c>
      <c r="FA66" s="145">
        <v>6.27</v>
      </c>
      <c r="FB66" s="41">
        <v>6.24</v>
      </c>
      <c r="FC66" s="41">
        <v>1</v>
      </c>
      <c r="FD66" s="41">
        <v>1</v>
      </c>
      <c r="FE66" s="41">
        <v>1</v>
      </c>
      <c r="FF66" s="41">
        <v>1</v>
      </c>
      <c r="FG66" s="41">
        <v>1</v>
      </c>
      <c r="FH66" s="41">
        <v>1</v>
      </c>
      <c r="FI66" s="41">
        <v>1</v>
      </c>
      <c r="FJ66" s="41">
        <v>1</v>
      </c>
      <c r="FK66" s="41">
        <v>1</v>
      </c>
      <c r="FL66" s="41">
        <v>1</v>
      </c>
      <c r="FM66" s="41">
        <v>1</v>
      </c>
      <c r="FN66" s="41">
        <v>1</v>
      </c>
      <c r="FO66" s="41">
        <v>1</v>
      </c>
      <c r="FP66" s="41">
        <v>1</v>
      </c>
      <c r="FQ66" s="41">
        <v>1</v>
      </c>
      <c r="FR66" s="41">
        <v>1</v>
      </c>
      <c r="FS66" s="41">
        <v>1</v>
      </c>
      <c r="FT66" s="41">
        <v>1</v>
      </c>
      <c r="FU66" s="41">
        <v>1</v>
      </c>
      <c r="FV66" s="41">
        <v>1</v>
      </c>
      <c r="FW66" s="41">
        <v>1</v>
      </c>
      <c r="FX66" s="41">
        <v>1</v>
      </c>
      <c r="FY66" s="41">
        <v>1</v>
      </c>
      <c r="FZ66" s="41">
        <v>1</v>
      </c>
      <c r="GB66" s="145">
        <f t="shared" si="180"/>
        <v>1</v>
      </c>
      <c r="GC66" s="145">
        <v>15.97</v>
      </c>
      <c r="GD66" s="145">
        <v>16.079999999999998</v>
      </c>
      <c r="GE66" s="145">
        <v>16.079999999999998</v>
      </c>
      <c r="GF66" s="145">
        <v>16.14</v>
      </c>
      <c r="GG66" s="145">
        <v>16.48</v>
      </c>
      <c r="GH66" s="41">
        <v>16.41</v>
      </c>
      <c r="GI66" s="41">
        <v>1</v>
      </c>
      <c r="GJ66" s="41">
        <v>1</v>
      </c>
      <c r="GK66" s="41">
        <v>1</v>
      </c>
      <c r="GL66" s="41">
        <v>1</v>
      </c>
      <c r="GM66" s="41">
        <v>1</v>
      </c>
      <c r="GN66" s="41">
        <v>1</v>
      </c>
      <c r="GO66" s="41">
        <v>1</v>
      </c>
      <c r="GP66" s="41">
        <v>1</v>
      </c>
      <c r="GQ66" s="41">
        <v>1</v>
      </c>
      <c r="GR66" s="41">
        <v>1</v>
      </c>
      <c r="GS66" s="41">
        <v>1</v>
      </c>
      <c r="GT66" s="41">
        <v>1</v>
      </c>
      <c r="GU66" s="41">
        <v>1</v>
      </c>
      <c r="GV66" s="41">
        <v>1</v>
      </c>
      <c r="GW66" s="41">
        <v>1</v>
      </c>
      <c r="GX66" s="41">
        <v>1</v>
      </c>
      <c r="GY66" s="41">
        <v>1</v>
      </c>
      <c r="GZ66" s="41">
        <v>1</v>
      </c>
      <c r="HA66" s="41">
        <v>1</v>
      </c>
      <c r="HB66" s="41">
        <v>1</v>
      </c>
      <c r="HC66" s="41">
        <v>1</v>
      </c>
      <c r="HD66" s="41">
        <v>1</v>
      </c>
      <c r="HE66" s="41">
        <v>1</v>
      </c>
      <c r="HF66" s="41">
        <v>1</v>
      </c>
      <c r="HH66" s="373">
        <v>2</v>
      </c>
      <c r="HI66" s="218">
        <v>1.18</v>
      </c>
      <c r="HJ66" s="41">
        <v>1.19</v>
      </c>
      <c r="HK66" s="41">
        <v>1.19</v>
      </c>
      <c r="HM66" s="373">
        <f t="shared" si="173"/>
        <v>5</v>
      </c>
      <c r="HN66" s="145">
        <v>1</v>
      </c>
      <c r="HO66" s="219">
        <v>1.008</v>
      </c>
      <c r="HP66" s="219">
        <v>1.014</v>
      </c>
      <c r="HQ66" s="219">
        <v>0.97799999999999998</v>
      </c>
      <c r="HR66" s="219">
        <v>1.0229999999999999</v>
      </c>
    </row>
    <row r="67" spans="1:240" ht="12.75" hidden="1" customHeight="1" x14ac:dyDescent="0.2">
      <c r="A67" s="373">
        <f>A66+1</f>
        <v>63</v>
      </c>
      <c r="B67" s="149" t="s">
        <v>1321</v>
      </c>
      <c r="C67" s="150">
        <v>1.42</v>
      </c>
      <c r="D67" s="150">
        <v>1.38</v>
      </c>
      <c r="E67" s="150">
        <v>1.661</v>
      </c>
      <c r="F67" s="150">
        <v>1.07</v>
      </c>
      <c r="G67" s="150"/>
      <c r="H67" s="226">
        <f ca="1">OFFSET($HH67,0,'Расчет стоимости'!$M$10,1,1)</f>
        <v>1.19</v>
      </c>
      <c r="I67" s="150">
        <v>1</v>
      </c>
      <c r="J67" s="150">
        <v>1</v>
      </c>
      <c r="K67" s="149">
        <v>1</v>
      </c>
      <c r="L67" s="149">
        <v>1</v>
      </c>
      <c r="M67" s="372">
        <v>4.2999999999999997E-2</v>
      </c>
      <c r="N67" s="145">
        <v>3.7000000000000005E-2</v>
      </c>
      <c r="O67" s="145">
        <v>1.7000000000000001E-2</v>
      </c>
      <c r="P67" s="145">
        <v>5.5E-2</v>
      </c>
      <c r="Q67" s="145">
        <v>4.0000000000000001E-3</v>
      </c>
      <c r="R67" s="152" t="s">
        <v>242</v>
      </c>
      <c r="S67" s="145" t="s">
        <v>265</v>
      </c>
      <c r="T67" s="225">
        <f t="shared" si="182"/>
        <v>0.99199999999999999</v>
      </c>
      <c r="U67" s="225">
        <f t="shared" si="182"/>
        <v>0.99199999999999999</v>
      </c>
      <c r="V67" s="225">
        <f t="shared" si="182"/>
        <v>0.99199999999999999</v>
      </c>
      <c r="W67" s="225">
        <f t="shared" si="182"/>
        <v>0.99199999999999999</v>
      </c>
      <c r="X67" s="145">
        <f t="shared" si="175"/>
        <v>1</v>
      </c>
      <c r="Y67" s="145">
        <v>8.2100000000000009</v>
      </c>
      <c r="Z67" s="145">
        <f>8.26</f>
        <v>8.26</v>
      </c>
      <c r="AA67" s="145">
        <v>8.26</v>
      </c>
      <c r="AB67" s="145">
        <v>8.2899999999999991</v>
      </c>
      <c r="AC67" s="145">
        <v>8.4600000000000009</v>
      </c>
      <c r="AD67" s="41">
        <v>8.43</v>
      </c>
      <c r="AE67" s="41">
        <v>1</v>
      </c>
      <c r="AF67" s="41">
        <v>1</v>
      </c>
      <c r="AG67" s="41">
        <v>1</v>
      </c>
      <c r="AH67" s="41">
        <v>1</v>
      </c>
      <c r="AI67" s="41">
        <v>1</v>
      </c>
      <c r="AJ67" s="41">
        <v>1</v>
      </c>
      <c r="AK67" s="41">
        <v>1</v>
      </c>
      <c r="AL67" s="41">
        <v>1</v>
      </c>
      <c r="AM67" s="41">
        <v>1</v>
      </c>
      <c r="AN67" s="41">
        <v>1</v>
      </c>
      <c r="AO67" s="41">
        <v>1</v>
      </c>
      <c r="AP67" s="41">
        <v>1</v>
      </c>
      <c r="AQ67" s="41">
        <v>1</v>
      </c>
      <c r="AR67" s="41">
        <v>1</v>
      </c>
      <c r="AS67" s="41">
        <v>1</v>
      </c>
      <c r="AT67" s="41">
        <v>1</v>
      </c>
      <c r="AU67" s="41">
        <v>1</v>
      </c>
      <c r="AV67" s="41">
        <v>1</v>
      </c>
      <c r="AW67" s="41">
        <v>1</v>
      </c>
      <c r="AX67" s="41">
        <v>1</v>
      </c>
      <c r="AY67" s="41">
        <v>1</v>
      </c>
      <c r="AZ67" s="41">
        <v>1</v>
      </c>
      <c r="BA67" s="41">
        <v>1</v>
      </c>
      <c r="BB67" s="41">
        <v>1</v>
      </c>
      <c r="BD67" s="145">
        <f t="shared" si="176"/>
        <v>1</v>
      </c>
      <c r="BE67" s="145">
        <v>4.8899999999999997</v>
      </c>
      <c r="BF67" s="145">
        <f>5.02</f>
        <v>5.0199999999999996</v>
      </c>
      <c r="BG67" s="145">
        <v>5.0199999999999996</v>
      </c>
      <c r="BH67" s="145">
        <v>5.04</v>
      </c>
      <c r="BI67" s="145">
        <v>5.15</v>
      </c>
      <c r="BJ67" s="41">
        <v>5.13</v>
      </c>
      <c r="BK67" s="41">
        <v>1</v>
      </c>
      <c r="BL67" s="41">
        <v>1</v>
      </c>
      <c r="BM67" s="41">
        <v>1</v>
      </c>
      <c r="BN67" s="41">
        <v>1</v>
      </c>
      <c r="BO67" s="41">
        <v>1</v>
      </c>
      <c r="BP67" s="41">
        <v>1</v>
      </c>
      <c r="BQ67" s="41">
        <v>1</v>
      </c>
      <c r="BR67" s="41">
        <v>1</v>
      </c>
      <c r="BS67" s="41">
        <v>1</v>
      </c>
      <c r="BT67" s="41">
        <v>1</v>
      </c>
      <c r="BU67" s="41">
        <v>1</v>
      </c>
      <c r="BV67" s="41">
        <v>1</v>
      </c>
      <c r="BW67" s="41">
        <v>1</v>
      </c>
      <c r="BX67" s="41">
        <v>1</v>
      </c>
      <c r="BY67" s="41">
        <v>1</v>
      </c>
      <c r="BZ67" s="41">
        <v>1</v>
      </c>
      <c r="CA67" s="41">
        <v>1</v>
      </c>
      <c r="CB67" s="41">
        <v>1</v>
      </c>
      <c r="CC67" s="41">
        <v>1</v>
      </c>
      <c r="CD67" s="41">
        <v>1</v>
      </c>
      <c r="CE67" s="41">
        <v>1</v>
      </c>
      <c r="CF67" s="41">
        <v>1</v>
      </c>
      <c r="CG67" s="41">
        <v>1</v>
      </c>
      <c r="CH67" s="41">
        <v>1</v>
      </c>
      <c r="CJ67" s="145">
        <f t="shared" si="177"/>
        <v>1</v>
      </c>
      <c r="CK67" s="145">
        <v>6.69</v>
      </c>
      <c r="CL67" s="145">
        <v>6.72</v>
      </c>
      <c r="CM67" s="145">
        <v>6.72</v>
      </c>
      <c r="CN67" s="145">
        <v>6.75</v>
      </c>
      <c r="CO67" s="145">
        <v>6.89</v>
      </c>
      <c r="CP67" s="41">
        <v>6.86</v>
      </c>
      <c r="CQ67" s="41">
        <v>1</v>
      </c>
      <c r="CR67" s="41">
        <v>1</v>
      </c>
      <c r="CS67" s="41">
        <v>1</v>
      </c>
      <c r="CT67" s="41">
        <v>1</v>
      </c>
      <c r="CU67" s="41">
        <v>1</v>
      </c>
      <c r="CV67" s="41">
        <v>1</v>
      </c>
      <c r="CW67" s="41">
        <v>1</v>
      </c>
      <c r="CX67" s="41">
        <v>1</v>
      </c>
      <c r="CY67" s="41">
        <v>1</v>
      </c>
      <c r="CZ67" s="41">
        <v>1</v>
      </c>
      <c r="DA67" s="41">
        <v>1</v>
      </c>
      <c r="DB67" s="41">
        <v>1</v>
      </c>
      <c r="DC67" s="41">
        <v>1</v>
      </c>
      <c r="DD67" s="41">
        <v>1</v>
      </c>
      <c r="DE67" s="41">
        <v>1</v>
      </c>
      <c r="DF67" s="41">
        <v>1</v>
      </c>
      <c r="DG67" s="41">
        <v>1</v>
      </c>
      <c r="DH67" s="41">
        <v>1</v>
      </c>
      <c r="DI67" s="41">
        <v>1</v>
      </c>
      <c r="DJ67" s="41">
        <v>1</v>
      </c>
      <c r="DK67" s="41">
        <v>1</v>
      </c>
      <c r="DL67" s="41">
        <v>1</v>
      </c>
      <c r="DM67" s="41">
        <v>1</v>
      </c>
      <c r="DN67" s="41">
        <v>1</v>
      </c>
      <c r="DP67" s="145">
        <f t="shared" si="178"/>
        <v>1</v>
      </c>
      <c r="DQ67" s="145">
        <v>6.56</v>
      </c>
      <c r="DR67" s="145">
        <v>6.6</v>
      </c>
      <c r="DS67" s="145">
        <v>6.6</v>
      </c>
      <c r="DT67" s="145">
        <v>6.63</v>
      </c>
      <c r="DU67" s="145">
        <v>6.77</v>
      </c>
      <c r="DV67" s="41">
        <v>0.74</v>
      </c>
      <c r="DW67" s="41">
        <v>1</v>
      </c>
      <c r="DX67" s="41">
        <v>1</v>
      </c>
      <c r="DY67" s="41">
        <v>1</v>
      </c>
      <c r="DZ67" s="41">
        <v>1</v>
      </c>
      <c r="EA67" s="41">
        <v>1</v>
      </c>
      <c r="EB67" s="41">
        <v>1</v>
      </c>
      <c r="EC67" s="41">
        <v>1</v>
      </c>
      <c r="ED67" s="41">
        <v>1</v>
      </c>
      <c r="EE67" s="41">
        <v>1</v>
      </c>
      <c r="EF67" s="41">
        <v>1</v>
      </c>
      <c r="EG67" s="41">
        <v>1</v>
      </c>
      <c r="EH67" s="41">
        <v>1</v>
      </c>
      <c r="EI67" s="41">
        <v>1</v>
      </c>
      <c r="EJ67" s="41">
        <v>1</v>
      </c>
      <c r="EK67" s="41">
        <v>1</v>
      </c>
      <c r="EL67" s="41">
        <v>1</v>
      </c>
      <c r="EM67" s="41">
        <v>1</v>
      </c>
      <c r="EN67" s="41">
        <v>1</v>
      </c>
      <c r="EO67" s="41">
        <v>1</v>
      </c>
      <c r="EP67" s="41">
        <v>1</v>
      </c>
      <c r="EQ67" s="41">
        <v>1</v>
      </c>
      <c r="ER67" s="41">
        <v>1</v>
      </c>
      <c r="ES67" s="41">
        <v>1</v>
      </c>
      <c r="ET67" s="41">
        <v>1</v>
      </c>
      <c r="EV67" s="145">
        <f t="shared" si="179"/>
        <v>1</v>
      </c>
      <c r="EW67" s="145">
        <v>7.56</v>
      </c>
      <c r="EX67" s="145">
        <v>7.6</v>
      </c>
      <c r="EY67" s="145">
        <v>7.6</v>
      </c>
      <c r="EZ67" s="145">
        <v>7.63</v>
      </c>
      <c r="FA67" s="145">
        <v>7.79</v>
      </c>
      <c r="FB67" s="41">
        <v>7.76</v>
      </c>
      <c r="FC67" s="41">
        <v>1</v>
      </c>
      <c r="FD67" s="41">
        <v>1</v>
      </c>
      <c r="FE67" s="41">
        <v>1</v>
      </c>
      <c r="FF67" s="41">
        <v>1</v>
      </c>
      <c r="FG67" s="41">
        <v>1</v>
      </c>
      <c r="FH67" s="41">
        <v>1</v>
      </c>
      <c r="FI67" s="41">
        <v>1</v>
      </c>
      <c r="FJ67" s="41">
        <v>1</v>
      </c>
      <c r="FK67" s="41">
        <v>1</v>
      </c>
      <c r="FL67" s="41">
        <v>1</v>
      </c>
      <c r="FM67" s="41">
        <v>1</v>
      </c>
      <c r="FN67" s="41">
        <v>1</v>
      </c>
      <c r="FO67" s="41">
        <v>1</v>
      </c>
      <c r="FP67" s="41">
        <v>1</v>
      </c>
      <c r="FQ67" s="41">
        <v>1</v>
      </c>
      <c r="FR67" s="41">
        <v>1</v>
      </c>
      <c r="FS67" s="41">
        <v>1</v>
      </c>
      <c r="FT67" s="41">
        <v>1</v>
      </c>
      <c r="FU67" s="41">
        <v>1</v>
      </c>
      <c r="FV67" s="41">
        <v>1</v>
      </c>
      <c r="FW67" s="41">
        <v>1</v>
      </c>
      <c r="FX67" s="41">
        <v>1</v>
      </c>
      <c r="FY67" s="41">
        <v>1</v>
      </c>
      <c r="FZ67" s="41">
        <v>1</v>
      </c>
      <c r="GB67" s="145">
        <f t="shared" si="180"/>
        <v>1</v>
      </c>
      <c r="GC67" s="145">
        <v>19.04</v>
      </c>
      <c r="GD67" s="145">
        <f>19.19</f>
        <v>19.190000000000001</v>
      </c>
      <c r="GE67" s="145">
        <v>19.190000000000001</v>
      </c>
      <c r="GF67" s="145">
        <v>19.27</v>
      </c>
      <c r="GG67" s="145">
        <v>19.670000000000002</v>
      </c>
      <c r="GH67" s="41">
        <v>19.59</v>
      </c>
      <c r="GI67" s="41">
        <v>1</v>
      </c>
      <c r="GJ67" s="41">
        <v>1</v>
      </c>
      <c r="GK67" s="41">
        <v>1</v>
      </c>
      <c r="GL67" s="41">
        <v>1</v>
      </c>
      <c r="GM67" s="41">
        <v>1</v>
      </c>
      <c r="GN67" s="41">
        <v>1</v>
      </c>
      <c r="GO67" s="41">
        <v>1</v>
      </c>
      <c r="GP67" s="41">
        <v>1</v>
      </c>
      <c r="GQ67" s="41">
        <v>1</v>
      </c>
      <c r="GR67" s="41">
        <v>1</v>
      </c>
      <c r="GS67" s="41">
        <v>1</v>
      </c>
      <c r="GT67" s="41">
        <v>1</v>
      </c>
      <c r="GU67" s="41">
        <v>1</v>
      </c>
      <c r="GV67" s="41">
        <v>1</v>
      </c>
      <c r="GW67" s="41">
        <v>1</v>
      </c>
      <c r="GX67" s="41">
        <v>1</v>
      </c>
      <c r="GY67" s="41">
        <v>1</v>
      </c>
      <c r="GZ67" s="41">
        <v>1</v>
      </c>
      <c r="HA67" s="41">
        <v>1</v>
      </c>
      <c r="HB67" s="41">
        <v>1</v>
      </c>
      <c r="HC67" s="41">
        <v>1</v>
      </c>
      <c r="HD67" s="41">
        <v>1</v>
      </c>
      <c r="HE67" s="41">
        <v>1</v>
      </c>
      <c r="HF67" s="41">
        <v>1</v>
      </c>
      <c r="HH67" s="373">
        <v>2</v>
      </c>
      <c r="HI67" s="218">
        <v>1.21</v>
      </c>
      <c r="HJ67" s="41">
        <v>1.19</v>
      </c>
      <c r="HK67" s="41">
        <v>1.19</v>
      </c>
      <c r="HM67" s="373">
        <f t="shared" si="173"/>
        <v>4</v>
      </c>
      <c r="HN67" s="219">
        <v>1.0209999999999999</v>
      </c>
      <c r="HO67" s="219">
        <v>1</v>
      </c>
      <c r="HP67" s="219">
        <v>0.97199999999999998</v>
      </c>
      <c r="HQ67" s="219">
        <v>0.99199999999999999</v>
      </c>
    </row>
    <row r="68" spans="1:240" ht="12.75" hidden="1" customHeight="1" x14ac:dyDescent="0.2">
      <c r="A68" s="373">
        <f>A67+1</f>
        <v>64</v>
      </c>
      <c r="B68" s="149" t="s">
        <v>1251</v>
      </c>
      <c r="C68" s="150">
        <v>1.1890000000000001</v>
      </c>
      <c r="D68" s="150">
        <v>1.2150000000000001</v>
      </c>
      <c r="E68" s="150">
        <v>1.165</v>
      </c>
      <c r="F68" s="150">
        <v>0.94799999999999995</v>
      </c>
      <c r="G68" s="150"/>
      <c r="H68" s="226">
        <f ca="1">OFFSET($HH68,0,'Расчет стоимости'!$M$10,1,1)</f>
        <v>1.0900000000000001</v>
      </c>
      <c r="I68" s="150">
        <v>1</v>
      </c>
      <c r="J68" s="150">
        <v>1</v>
      </c>
      <c r="K68" s="149">
        <v>1</v>
      </c>
      <c r="L68" s="149">
        <v>1</v>
      </c>
      <c r="M68" s="372">
        <v>3.2000000000000001E-2</v>
      </c>
      <c r="N68" s="145">
        <v>2.8999999999999998E-2</v>
      </c>
      <c r="O68" s="145">
        <v>1.3000000000000001E-2</v>
      </c>
      <c r="P68" s="145">
        <v>0.04</v>
      </c>
      <c r="Q68" s="145">
        <v>3.0000000000000001E-3</v>
      </c>
      <c r="R68" s="152" t="s">
        <v>236</v>
      </c>
      <c r="S68" s="145" t="s">
        <v>266</v>
      </c>
      <c r="T68" s="225">
        <f t="shared" si="182"/>
        <v>1</v>
      </c>
      <c r="U68" s="225">
        <f t="shared" si="182"/>
        <v>1</v>
      </c>
      <c r="V68" s="225">
        <f t="shared" si="182"/>
        <v>1</v>
      </c>
      <c r="W68" s="225">
        <f t="shared" si="182"/>
        <v>1</v>
      </c>
      <c r="X68" s="145">
        <f t="shared" si="175"/>
        <v>1</v>
      </c>
      <c r="Y68" s="145">
        <v>5.32</v>
      </c>
      <c r="Z68" s="145">
        <v>5.36</v>
      </c>
      <c r="AA68" s="145">
        <v>5.36</v>
      </c>
      <c r="AB68" s="145">
        <v>5.38</v>
      </c>
      <c r="AC68" s="145">
        <v>5.49</v>
      </c>
      <c r="AD68" s="41">
        <v>5.47</v>
      </c>
      <c r="AE68" s="41">
        <v>1</v>
      </c>
      <c r="AF68" s="41">
        <v>1</v>
      </c>
      <c r="AG68" s="41">
        <v>1</v>
      </c>
      <c r="AH68" s="41">
        <v>1</v>
      </c>
      <c r="AI68" s="41">
        <v>1</v>
      </c>
      <c r="AJ68" s="41">
        <v>1</v>
      </c>
      <c r="AK68" s="41">
        <v>1</v>
      </c>
      <c r="AL68" s="41">
        <v>1</v>
      </c>
      <c r="AM68" s="41">
        <v>1</v>
      </c>
      <c r="AN68" s="41">
        <v>1</v>
      </c>
      <c r="AO68" s="41">
        <v>1</v>
      </c>
      <c r="AP68" s="41">
        <v>1</v>
      </c>
      <c r="AQ68" s="41">
        <v>1</v>
      </c>
      <c r="AR68" s="41">
        <v>1</v>
      </c>
      <c r="AS68" s="41">
        <v>1</v>
      </c>
      <c r="AT68" s="41">
        <v>1</v>
      </c>
      <c r="AU68" s="41">
        <v>1</v>
      </c>
      <c r="AV68" s="41">
        <v>1</v>
      </c>
      <c r="AW68" s="41">
        <v>1</v>
      </c>
      <c r="AX68" s="41">
        <v>1</v>
      </c>
      <c r="AY68" s="41">
        <v>1</v>
      </c>
      <c r="AZ68" s="41">
        <v>1</v>
      </c>
      <c r="BA68" s="41">
        <v>1</v>
      </c>
      <c r="BB68" s="41">
        <v>1</v>
      </c>
      <c r="BD68" s="145">
        <f t="shared" si="176"/>
        <v>1</v>
      </c>
      <c r="BE68" s="145">
        <v>4.34</v>
      </c>
      <c r="BF68" s="145">
        <v>3.99</v>
      </c>
      <c r="BG68" s="145">
        <v>3.99</v>
      </c>
      <c r="BH68" s="145">
        <v>3.58</v>
      </c>
      <c r="BI68" s="145">
        <v>3.37</v>
      </c>
      <c r="BJ68" s="41">
        <v>3.36</v>
      </c>
      <c r="BK68" s="41">
        <v>1</v>
      </c>
      <c r="BL68" s="41">
        <v>1</v>
      </c>
      <c r="BM68" s="41">
        <v>1</v>
      </c>
      <c r="BN68" s="41">
        <v>1</v>
      </c>
      <c r="BO68" s="41">
        <v>1</v>
      </c>
      <c r="BP68" s="41">
        <v>1</v>
      </c>
      <c r="BQ68" s="41">
        <v>1</v>
      </c>
      <c r="BR68" s="41">
        <v>1</v>
      </c>
      <c r="BS68" s="41">
        <v>1</v>
      </c>
      <c r="BT68" s="41">
        <v>1</v>
      </c>
      <c r="BU68" s="41">
        <v>1</v>
      </c>
      <c r="BV68" s="41">
        <v>1</v>
      </c>
      <c r="BW68" s="41">
        <v>1</v>
      </c>
      <c r="BX68" s="41">
        <v>1</v>
      </c>
      <c r="BY68" s="41">
        <v>1</v>
      </c>
      <c r="BZ68" s="41">
        <v>1</v>
      </c>
      <c r="CA68" s="41">
        <v>1</v>
      </c>
      <c r="CB68" s="41">
        <v>1</v>
      </c>
      <c r="CC68" s="41">
        <v>1</v>
      </c>
      <c r="CD68" s="41">
        <v>1</v>
      </c>
      <c r="CE68" s="41">
        <v>1</v>
      </c>
      <c r="CF68" s="41">
        <v>1</v>
      </c>
      <c r="CG68" s="41">
        <v>1</v>
      </c>
      <c r="CH68" s="41">
        <v>1</v>
      </c>
      <c r="CJ68" s="145">
        <f t="shared" si="177"/>
        <v>1</v>
      </c>
      <c r="CK68" s="145">
        <v>4.17</v>
      </c>
      <c r="CL68" s="145">
        <v>3.77</v>
      </c>
      <c r="CM68" s="145">
        <v>3.77</v>
      </c>
      <c r="CN68" s="145">
        <v>3.7</v>
      </c>
      <c r="CO68" s="145">
        <v>3.75</v>
      </c>
      <c r="CP68" s="41">
        <v>3.74</v>
      </c>
      <c r="CQ68" s="41">
        <v>1</v>
      </c>
      <c r="CR68" s="41">
        <v>1</v>
      </c>
      <c r="CS68" s="41">
        <v>1</v>
      </c>
      <c r="CT68" s="41">
        <v>1</v>
      </c>
      <c r="CU68" s="41">
        <v>1</v>
      </c>
      <c r="CV68" s="41">
        <v>1</v>
      </c>
      <c r="CW68" s="41">
        <v>1</v>
      </c>
      <c r="CX68" s="41">
        <v>1</v>
      </c>
      <c r="CY68" s="41">
        <v>1</v>
      </c>
      <c r="CZ68" s="41">
        <v>1</v>
      </c>
      <c r="DA68" s="41">
        <v>1</v>
      </c>
      <c r="DB68" s="41">
        <v>1</v>
      </c>
      <c r="DC68" s="41">
        <v>1</v>
      </c>
      <c r="DD68" s="41">
        <v>1</v>
      </c>
      <c r="DE68" s="41">
        <v>1</v>
      </c>
      <c r="DF68" s="41">
        <v>1</v>
      </c>
      <c r="DG68" s="41">
        <v>1</v>
      </c>
      <c r="DH68" s="41">
        <v>1</v>
      </c>
      <c r="DI68" s="41">
        <v>1</v>
      </c>
      <c r="DJ68" s="41">
        <v>1</v>
      </c>
      <c r="DK68" s="41">
        <v>1</v>
      </c>
      <c r="DL68" s="41">
        <v>1</v>
      </c>
      <c r="DM68" s="41">
        <v>1</v>
      </c>
      <c r="DN68" s="41">
        <v>1</v>
      </c>
      <c r="DP68" s="145">
        <f t="shared" si="178"/>
        <v>1</v>
      </c>
      <c r="DQ68" s="145">
        <v>4.32</v>
      </c>
      <c r="DR68" s="145">
        <v>4.43</v>
      </c>
      <c r="DS68" s="145">
        <v>4.43</v>
      </c>
      <c r="DT68" s="145">
        <v>4.28</v>
      </c>
      <c r="DU68" s="145">
        <v>3.88</v>
      </c>
      <c r="DV68" s="41">
        <v>3.86</v>
      </c>
      <c r="DW68" s="41">
        <v>1</v>
      </c>
      <c r="DX68" s="41">
        <v>1</v>
      </c>
      <c r="DY68" s="41">
        <v>1</v>
      </c>
      <c r="DZ68" s="41">
        <v>1</v>
      </c>
      <c r="EA68" s="41">
        <v>1</v>
      </c>
      <c r="EB68" s="41">
        <v>1</v>
      </c>
      <c r="EC68" s="41">
        <v>1</v>
      </c>
      <c r="ED68" s="41">
        <v>1</v>
      </c>
      <c r="EE68" s="41">
        <v>1</v>
      </c>
      <c r="EF68" s="41">
        <v>1</v>
      </c>
      <c r="EG68" s="41">
        <v>1</v>
      </c>
      <c r="EH68" s="41">
        <v>1</v>
      </c>
      <c r="EI68" s="41">
        <v>1</v>
      </c>
      <c r="EJ68" s="41">
        <v>1</v>
      </c>
      <c r="EK68" s="41">
        <v>1</v>
      </c>
      <c r="EL68" s="41">
        <v>1</v>
      </c>
      <c r="EM68" s="41">
        <v>1</v>
      </c>
      <c r="EN68" s="41">
        <v>1</v>
      </c>
      <c r="EO68" s="41">
        <v>1</v>
      </c>
      <c r="EP68" s="41">
        <v>1</v>
      </c>
      <c r="EQ68" s="41">
        <v>1</v>
      </c>
      <c r="ER68" s="41">
        <v>1</v>
      </c>
      <c r="ES68" s="41">
        <v>1</v>
      </c>
      <c r="ET68" s="41">
        <v>1</v>
      </c>
      <c r="EV68" s="145">
        <f t="shared" si="179"/>
        <v>1</v>
      </c>
      <c r="EW68" s="145">
        <v>4.41</v>
      </c>
      <c r="EX68" s="145">
        <v>4.04</v>
      </c>
      <c r="EY68" s="145">
        <v>4.04</v>
      </c>
      <c r="EZ68" s="145">
        <v>4.01</v>
      </c>
      <c r="FA68" s="145">
        <v>4.03</v>
      </c>
      <c r="FB68" s="41">
        <v>4.01</v>
      </c>
      <c r="FC68" s="41">
        <v>1</v>
      </c>
      <c r="FD68" s="41">
        <v>1</v>
      </c>
      <c r="FE68" s="41">
        <v>1</v>
      </c>
      <c r="FF68" s="41">
        <v>1</v>
      </c>
      <c r="FG68" s="41">
        <v>1</v>
      </c>
      <c r="FH68" s="41">
        <v>1</v>
      </c>
      <c r="FI68" s="41">
        <v>1</v>
      </c>
      <c r="FJ68" s="41">
        <v>1</v>
      </c>
      <c r="FK68" s="41">
        <v>1</v>
      </c>
      <c r="FL68" s="41">
        <v>1</v>
      </c>
      <c r="FM68" s="41">
        <v>1</v>
      </c>
      <c r="FN68" s="41">
        <v>1</v>
      </c>
      <c r="FO68" s="41">
        <v>1</v>
      </c>
      <c r="FP68" s="41">
        <v>1</v>
      </c>
      <c r="FQ68" s="41">
        <v>1</v>
      </c>
      <c r="FR68" s="41">
        <v>1</v>
      </c>
      <c r="FS68" s="41">
        <v>1</v>
      </c>
      <c r="FT68" s="41">
        <v>1</v>
      </c>
      <c r="FU68" s="41">
        <v>1</v>
      </c>
      <c r="FV68" s="41">
        <v>1</v>
      </c>
      <c r="FW68" s="41">
        <v>1</v>
      </c>
      <c r="FX68" s="41">
        <v>1</v>
      </c>
      <c r="FY68" s="41">
        <v>1</v>
      </c>
      <c r="FZ68" s="41">
        <v>1</v>
      </c>
      <c r="GB68" s="145">
        <f t="shared" si="180"/>
        <v>1</v>
      </c>
      <c r="GC68" s="145">
        <v>7.45</v>
      </c>
      <c r="GD68" s="145">
        <v>7.48</v>
      </c>
      <c r="GE68" s="145">
        <v>7.48</v>
      </c>
      <c r="GF68" s="145">
        <v>7.51</v>
      </c>
      <c r="GG68" s="145">
        <v>7.67</v>
      </c>
      <c r="GH68" s="41">
        <v>7.64</v>
      </c>
      <c r="GI68" s="41">
        <v>1</v>
      </c>
      <c r="GJ68" s="41">
        <v>1</v>
      </c>
      <c r="GK68" s="41">
        <v>1</v>
      </c>
      <c r="GL68" s="41">
        <v>1</v>
      </c>
      <c r="GM68" s="41">
        <v>1</v>
      </c>
      <c r="GN68" s="41">
        <v>1</v>
      </c>
      <c r="GO68" s="41">
        <v>1</v>
      </c>
      <c r="GP68" s="41">
        <v>1</v>
      </c>
      <c r="GQ68" s="41">
        <v>1</v>
      </c>
      <c r="GR68" s="41">
        <v>1</v>
      </c>
      <c r="GS68" s="41">
        <v>1</v>
      </c>
      <c r="GT68" s="41">
        <v>1</v>
      </c>
      <c r="GU68" s="41">
        <v>1</v>
      </c>
      <c r="GV68" s="41">
        <v>1</v>
      </c>
      <c r="GW68" s="41">
        <v>1</v>
      </c>
      <c r="GX68" s="41">
        <v>1</v>
      </c>
      <c r="GY68" s="41">
        <v>1</v>
      </c>
      <c r="GZ68" s="41">
        <v>1</v>
      </c>
      <c r="HA68" s="41">
        <v>1</v>
      </c>
      <c r="HB68" s="41">
        <v>1</v>
      </c>
      <c r="HC68" s="41">
        <v>1</v>
      </c>
      <c r="HD68" s="41">
        <v>1</v>
      </c>
      <c r="HE68" s="41">
        <v>1</v>
      </c>
      <c r="HF68" s="41">
        <v>1</v>
      </c>
      <c r="HH68" s="373">
        <v>1</v>
      </c>
      <c r="HI68" s="218">
        <v>1.0900000000000001</v>
      </c>
      <c r="HJ68" s="229">
        <v>1.0900000000000001</v>
      </c>
      <c r="HK68" s="229">
        <v>1.0900000000000001</v>
      </c>
      <c r="HM68" s="373">
        <f t="shared" si="173"/>
        <v>1</v>
      </c>
      <c r="HN68" s="145">
        <v>1</v>
      </c>
    </row>
    <row r="69" spans="1:240" ht="12.75" hidden="1" customHeight="1" x14ac:dyDescent="0.2">
      <c r="A69" s="373">
        <f t="shared" ref="A69:A91" si="183">A68+1</f>
        <v>65</v>
      </c>
      <c r="B69" s="149" t="s">
        <v>167</v>
      </c>
      <c r="C69" s="150">
        <v>1.1919999999999999</v>
      </c>
      <c r="D69" s="150">
        <v>1.1359999999999999</v>
      </c>
      <c r="E69" s="150">
        <v>1.397</v>
      </c>
      <c r="F69" s="150">
        <v>1.151</v>
      </c>
      <c r="G69" s="150"/>
      <c r="H69" s="226">
        <f ca="1">OFFSET($HH69,0,'Расчет стоимости'!$M$10,1,1)</f>
        <v>1.0900000000000001</v>
      </c>
      <c r="I69" s="150">
        <v>1</v>
      </c>
      <c r="J69" s="150">
        <v>1</v>
      </c>
      <c r="K69" s="149">
        <v>1</v>
      </c>
      <c r="L69" s="149">
        <v>1</v>
      </c>
      <c r="M69" s="372">
        <v>4.2999999999999997E-2</v>
      </c>
      <c r="N69" s="145">
        <v>3.7000000000000005E-2</v>
      </c>
      <c r="O69" s="145">
        <v>1.7000000000000001E-2</v>
      </c>
      <c r="P69" s="145">
        <v>5.5E-2</v>
      </c>
      <c r="Q69" s="145">
        <v>4.0000000000000001E-3</v>
      </c>
      <c r="R69" s="152" t="s">
        <v>237</v>
      </c>
      <c r="S69" s="145" t="s">
        <v>266</v>
      </c>
      <c r="T69" s="225">
        <f t="shared" si="182"/>
        <v>1</v>
      </c>
      <c r="U69" s="225">
        <f t="shared" si="182"/>
        <v>1</v>
      </c>
      <c r="V69" s="225">
        <f t="shared" si="182"/>
        <v>1</v>
      </c>
      <c r="W69" s="225">
        <f t="shared" si="182"/>
        <v>1</v>
      </c>
      <c r="X69" s="145">
        <f t="shared" si="175"/>
        <v>1</v>
      </c>
      <c r="Y69" s="145">
        <v>6.59</v>
      </c>
      <c r="Z69" s="145">
        <v>6.77</v>
      </c>
      <c r="AA69" s="145">
        <v>6.77</v>
      </c>
      <c r="AB69" s="145">
        <v>6.8</v>
      </c>
      <c r="AC69" s="145">
        <v>6.94</v>
      </c>
      <c r="AD69" s="41">
        <v>6.91</v>
      </c>
      <c r="AE69" s="41">
        <v>1</v>
      </c>
      <c r="AF69" s="41">
        <v>1</v>
      </c>
      <c r="AG69" s="41">
        <v>1</v>
      </c>
      <c r="AH69" s="41">
        <v>1</v>
      </c>
      <c r="AI69" s="41">
        <v>1</v>
      </c>
      <c r="AJ69" s="41">
        <v>1</v>
      </c>
      <c r="AK69" s="41">
        <v>1</v>
      </c>
      <c r="AL69" s="41">
        <v>1</v>
      </c>
      <c r="AM69" s="41">
        <v>1</v>
      </c>
      <c r="AN69" s="41">
        <v>1</v>
      </c>
      <c r="AO69" s="41">
        <v>1</v>
      </c>
      <c r="AP69" s="41">
        <v>1</v>
      </c>
      <c r="AQ69" s="41">
        <v>1</v>
      </c>
      <c r="AR69" s="41">
        <v>1</v>
      </c>
      <c r="AS69" s="41">
        <v>1</v>
      </c>
      <c r="AT69" s="41">
        <v>1</v>
      </c>
      <c r="AU69" s="41">
        <v>1</v>
      </c>
      <c r="AV69" s="41">
        <v>1</v>
      </c>
      <c r="AW69" s="41">
        <v>1</v>
      </c>
      <c r="AX69" s="41">
        <v>1</v>
      </c>
      <c r="AY69" s="41">
        <v>1</v>
      </c>
      <c r="AZ69" s="41">
        <v>1</v>
      </c>
      <c r="BA69" s="41">
        <v>1</v>
      </c>
      <c r="BB69" s="41">
        <v>1</v>
      </c>
      <c r="BD69" s="145">
        <f t="shared" si="176"/>
        <v>1</v>
      </c>
      <c r="BE69" s="145">
        <v>4.2699999999999996</v>
      </c>
      <c r="BF69" s="145">
        <v>4.32</v>
      </c>
      <c r="BG69" s="145">
        <v>4.32</v>
      </c>
      <c r="BH69" s="145">
        <v>4.34</v>
      </c>
      <c r="BI69" s="145">
        <v>4.43</v>
      </c>
      <c r="BJ69" s="41">
        <v>4.41</v>
      </c>
      <c r="BK69" s="41">
        <v>1</v>
      </c>
      <c r="BL69" s="41">
        <v>1</v>
      </c>
      <c r="BM69" s="41">
        <v>1</v>
      </c>
      <c r="BN69" s="41">
        <v>1</v>
      </c>
      <c r="BO69" s="41">
        <v>1</v>
      </c>
      <c r="BP69" s="41">
        <v>1</v>
      </c>
      <c r="BQ69" s="41">
        <v>1</v>
      </c>
      <c r="BR69" s="41">
        <v>1</v>
      </c>
      <c r="BS69" s="41">
        <v>1</v>
      </c>
      <c r="BT69" s="41">
        <v>1</v>
      </c>
      <c r="BU69" s="41">
        <v>1</v>
      </c>
      <c r="BV69" s="41">
        <v>1</v>
      </c>
      <c r="BW69" s="41">
        <v>1</v>
      </c>
      <c r="BX69" s="41">
        <v>1</v>
      </c>
      <c r="BY69" s="41">
        <v>1</v>
      </c>
      <c r="BZ69" s="41">
        <v>1</v>
      </c>
      <c r="CA69" s="41">
        <v>1</v>
      </c>
      <c r="CB69" s="41">
        <v>1</v>
      </c>
      <c r="CC69" s="41">
        <v>1</v>
      </c>
      <c r="CD69" s="41">
        <v>1</v>
      </c>
      <c r="CE69" s="41">
        <v>1</v>
      </c>
      <c r="CF69" s="41">
        <v>1</v>
      </c>
      <c r="CG69" s="41">
        <v>1</v>
      </c>
      <c r="CH69" s="41">
        <v>1</v>
      </c>
      <c r="CJ69" s="145">
        <f t="shared" si="177"/>
        <v>1</v>
      </c>
      <c r="CK69" s="145">
        <v>4.24</v>
      </c>
      <c r="CL69" s="145">
        <v>4.34</v>
      </c>
      <c r="CM69" s="145">
        <v>4.34</v>
      </c>
      <c r="CN69" s="145">
        <v>4.3600000000000003</v>
      </c>
      <c r="CO69" s="145">
        <v>4.45</v>
      </c>
      <c r="CP69" s="41">
        <v>4.43</v>
      </c>
      <c r="CQ69" s="41">
        <v>1</v>
      </c>
      <c r="CR69" s="41">
        <v>1</v>
      </c>
      <c r="CS69" s="41">
        <v>1</v>
      </c>
      <c r="CT69" s="41">
        <v>1</v>
      </c>
      <c r="CU69" s="41">
        <v>1</v>
      </c>
      <c r="CV69" s="41">
        <v>1</v>
      </c>
      <c r="CW69" s="41">
        <v>1</v>
      </c>
      <c r="CX69" s="41">
        <v>1</v>
      </c>
      <c r="CY69" s="41">
        <v>1</v>
      </c>
      <c r="CZ69" s="41">
        <v>1</v>
      </c>
      <c r="DA69" s="41">
        <v>1</v>
      </c>
      <c r="DB69" s="41">
        <v>1</v>
      </c>
      <c r="DC69" s="41">
        <v>1</v>
      </c>
      <c r="DD69" s="41">
        <v>1</v>
      </c>
      <c r="DE69" s="41">
        <v>1</v>
      </c>
      <c r="DF69" s="41">
        <v>1</v>
      </c>
      <c r="DG69" s="41">
        <v>1</v>
      </c>
      <c r="DH69" s="41">
        <v>1</v>
      </c>
      <c r="DI69" s="41">
        <v>1</v>
      </c>
      <c r="DJ69" s="41">
        <v>1</v>
      </c>
      <c r="DK69" s="41">
        <v>1</v>
      </c>
      <c r="DL69" s="41">
        <v>1</v>
      </c>
      <c r="DM69" s="41">
        <v>1</v>
      </c>
      <c r="DN69" s="41">
        <v>1</v>
      </c>
      <c r="DP69" s="145">
        <f t="shared" si="178"/>
        <v>1</v>
      </c>
      <c r="DQ69" s="145">
        <v>5.12</v>
      </c>
      <c r="DR69" s="145">
        <v>5.25</v>
      </c>
      <c r="DS69" s="145">
        <v>5.25</v>
      </c>
      <c r="DT69" s="145">
        <v>5.27</v>
      </c>
      <c r="DU69" s="145">
        <v>5.38</v>
      </c>
      <c r="DV69" s="41">
        <v>5.36</v>
      </c>
      <c r="DW69" s="41">
        <v>1</v>
      </c>
      <c r="DX69" s="41">
        <v>1</v>
      </c>
      <c r="DY69" s="41">
        <v>1</v>
      </c>
      <c r="DZ69" s="41">
        <v>1</v>
      </c>
      <c r="EA69" s="41">
        <v>1</v>
      </c>
      <c r="EB69" s="41">
        <v>1</v>
      </c>
      <c r="EC69" s="41">
        <v>1</v>
      </c>
      <c r="ED69" s="41">
        <v>1</v>
      </c>
      <c r="EE69" s="41">
        <v>1</v>
      </c>
      <c r="EF69" s="41">
        <v>1</v>
      </c>
      <c r="EG69" s="41">
        <v>1</v>
      </c>
      <c r="EH69" s="41">
        <v>1</v>
      </c>
      <c r="EI69" s="41">
        <v>1</v>
      </c>
      <c r="EJ69" s="41">
        <v>1</v>
      </c>
      <c r="EK69" s="41">
        <v>1</v>
      </c>
      <c r="EL69" s="41">
        <v>1</v>
      </c>
      <c r="EM69" s="41">
        <v>1</v>
      </c>
      <c r="EN69" s="41">
        <v>1</v>
      </c>
      <c r="EO69" s="41">
        <v>1</v>
      </c>
      <c r="EP69" s="41">
        <v>1</v>
      </c>
      <c r="EQ69" s="41">
        <v>1</v>
      </c>
      <c r="ER69" s="41">
        <v>1</v>
      </c>
      <c r="ES69" s="41">
        <v>1</v>
      </c>
      <c r="ET69" s="41">
        <v>1</v>
      </c>
      <c r="EV69" s="145">
        <f t="shared" si="179"/>
        <v>1</v>
      </c>
      <c r="EW69" s="145">
        <v>4.5999999999999996</v>
      </c>
      <c r="EX69" s="145">
        <v>4.7300000000000004</v>
      </c>
      <c r="EY69" s="145">
        <v>4.7300000000000004</v>
      </c>
      <c r="EZ69" s="145">
        <v>4.75</v>
      </c>
      <c r="FA69" s="145">
        <v>4.8499999999999996</v>
      </c>
      <c r="FB69" s="41">
        <v>4.83</v>
      </c>
      <c r="FC69" s="41">
        <v>1</v>
      </c>
      <c r="FD69" s="41">
        <v>1</v>
      </c>
      <c r="FE69" s="41">
        <v>1</v>
      </c>
      <c r="FF69" s="41">
        <v>1</v>
      </c>
      <c r="FG69" s="41">
        <v>1</v>
      </c>
      <c r="FH69" s="41">
        <v>1</v>
      </c>
      <c r="FI69" s="41">
        <v>1</v>
      </c>
      <c r="FJ69" s="41">
        <v>1</v>
      </c>
      <c r="FK69" s="41">
        <v>1</v>
      </c>
      <c r="FL69" s="41">
        <v>1</v>
      </c>
      <c r="FM69" s="41">
        <v>1</v>
      </c>
      <c r="FN69" s="41">
        <v>1</v>
      </c>
      <c r="FO69" s="41">
        <v>1</v>
      </c>
      <c r="FP69" s="41">
        <v>1</v>
      </c>
      <c r="FQ69" s="41">
        <v>1</v>
      </c>
      <c r="FR69" s="41">
        <v>1</v>
      </c>
      <c r="FS69" s="41">
        <v>1</v>
      </c>
      <c r="FT69" s="41">
        <v>1</v>
      </c>
      <c r="FU69" s="41">
        <v>1</v>
      </c>
      <c r="FV69" s="41">
        <v>1</v>
      </c>
      <c r="FW69" s="41">
        <v>1</v>
      </c>
      <c r="FX69" s="41">
        <v>1</v>
      </c>
      <c r="FY69" s="41">
        <v>1</v>
      </c>
      <c r="FZ69" s="41">
        <v>1</v>
      </c>
      <c r="GB69" s="145">
        <f t="shared" si="180"/>
        <v>1</v>
      </c>
      <c r="GC69" s="145">
        <v>12.88</v>
      </c>
      <c r="GD69" s="145">
        <v>13.18</v>
      </c>
      <c r="GE69" s="145">
        <v>13.18</v>
      </c>
      <c r="GF69" s="145">
        <v>13.23</v>
      </c>
      <c r="GG69" s="145">
        <v>13.51</v>
      </c>
      <c r="GH69" s="41">
        <v>13.46</v>
      </c>
      <c r="GI69" s="41">
        <v>1</v>
      </c>
      <c r="GJ69" s="41">
        <v>1</v>
      </c>
      <c r="GK69" s="41">
        <v>1</v>
      </c>
      <c r="GL69" s="41">
        <v>1</v>
      </c>
      <c r="GM69" s="41">
        <v>1</v>
      </c>
      <c r="GN69" s="41">
        <v>1</v>
      </c>
      <c r="GO69" s="41">
        <v>1</v>
      </c>
      <c r="GP69" s="41">
        <v>1</v>
      </c>
      <c r="GQ69" s="41">
        <v>1</v>
      </c>
      <c r="GR69" s="41">
        <v>1</v>
      </c>
      <c r="GS69" s="41">
        <v>1</v>
      </c>
      <c r="GT69" s="41">
        <v>1</v>
      </c>
      <c r="GU69" s="41">
        <v>1</v>
      </c>
      <c r="GV69" s="41">
        <v>1</v>
      </c>
      <c r="GW69" s="41">
        <v>1</v>
      </c>
      <c r="GX69" s="41">
        <v>1</v>
      </c>
      <c r="GY69" s="41">
        <v>1</v>
      </c>
      <c r="GZ69" s="41">
        <v>1</v>
      </c>
      <c r="HA69" s="41">
        <v>1</v>
      </c>
      <c r="HB69" s="41">
        <v>1</v>
      </c>
      <c r="HC69" s="41">
        <v>1</v>
      </c>
      <c r="HD69" s="41">
        <v>1</v>
      </c>
      <c r="HE69" s="41">
        <v>1</v>
      </c>
      <c r="HF69" s="41">
        <v>1</v>
      </c>
      <c r="HH69" s="373">
        <v>1</v>
      </c>
      <c r="HI69" s="218">
        <v>1.0900000000000001</v>
      </c>
      <c r="HJ69" s="229">
        <v>1.0900000000000001</v>
      </c>
      <c r="HK69" s="229">
        <v>1.0900000000000001</v>
      </c>
      <c r="HM69" s="373">
        <f t="shared" si="173"/>
        <v>1</v>
      </c>
      <c r="HN69" s="145">
        <v>1</v>
      </c>
    </row>
    <row r="70" spans="1:240" hidden="1" x14ac:dyDescent="0.2">
      <c r="A70" s="373">
        <f t="shared" si="183"/>
        <v>66</v>
      </c>
      <c r="B70" s="149" t="s">
        <v>168</v>
      </c>
      <c r="C70" s="150">
        <v>1.32</v>
      </c>
      <c r="D70" s="150">
        <v>1.2450000000000001</v>
      </c>
      <c r="E70" s="150">
        <v>1.5980000000000001</v>
      </c>
      <c r="F70" s="150">
        <v>1.306</v>
      </c>
      <c r="G70" s="150"/>
      <c r="H70" s="226">
        <f ca="1">OFFSET($HH70,0,'Расчет стоимости'!$M$10,1,1)</f>
        <v>1.0900000000000001</v>
      </c>
      <c r="I70" s="150">
        <v>1</v>
      </c>
      <c r="J70" s="150">
        <v>1</v>
      </c>
      <c r="K70" s="149">
        <v>1</v>
      </c>
      <c r="L70" s="149">
        <v>1</v>
      </c>
      <c r="M70" s="372">
        <v>4.2999999999999997E-2</v>
      </c>
      <c r="N70" s="145">
        <v>3.7000000000000005E-2</v>
      </c>
      <c r="O70" s="145">
        <v>1.7000000000000001E-2</v>
      </c>
      <c r="P70" s="145">
        <v>5.5E-2</v>
      </c>
      <c r="Q70" s="145">
        <v>4.0000000000000001E-3</v>
      </c>
      <c r="R70" s="152" t="s">
        <v>242</v>
      </c>
      <c r="S70" s="145" t="s">
        <v>266</v>
      </c>
      <c r="T70" s="225">
        <f t="shared" si="182"/>
        <v>1</v>
      </c>
      <c r="U70" s="225">
        <f t="shared" si="182"/>
        <v>1</v>
      </c>
      <c r="V70" s="225">
        <f t="shared" si="182"/>
        <v>1</v>
      </c>
      <c r="W70" s="225">
        <f t="shared" si="182"/>
        <v>1</v>
      </c>
      <c r="X70" s="145">
        <f t="shared" ref="X70:X91" si="184">HLOOKUP($X$4,Y$5:BB$91,$A70,FALSE)</f>
        <v>1</v>
      </c>
      <c r="Y70" s="145">
        <v>6.61</v>
      </c>
      <c r="Z70" s="145">
        <f>6.79</f>
        <v>6.79</v>
      </c>
      <c r="AA70" s="145">
        <v>6.79</v>
      </c>
      <c r="AB70" s="145">
        <v>6.82</v>
      </c>
      <c r="AC70" s="145">
        <v>6.96</v>
      </c>
      <c r="AD70" s="41">
        <v>6.93</v>
      </c>
      <c r="AE70" s="41">
        <v>1</v>
      </c>
      <c r="AF70" s="41">
        <v>1</v>
      </c>
      <c r="AG70" s="41">
        <v>1</v>
      </c>
      <c r="AH70" s="41">
        <v>1</v>
      </c>
      <c r="AI70" s="41">
        <v>1</v>
      </c>
      <c r="AJ70" s="41">
        <v>1</v>
      </c>
      <c r="AK70" s="41">
        <v>1</v>
      </c>
      <c r="AL70" s="41">
        <v>1</v>
      </c>
      <c r="AM70" s="41">
        <v>1</v>
      </c>
      <c r="AN70" s="41">
        <v>1</v>
      </c>
      <c r="AO70" s="41">
        <v>1</v>
      </c>
      <c r="AP70" s="41">
        <v>1</v>
      </c>
      <c r="AQ70" s="41">
        <v>1</v>
      </c>
      <c r="AR70" s="41">
        <v>1</v>
      </c>
      <c r="AS70" s="41">
        <v>1</v>
      </c>
      <c r="AT70" s="41">
        <v>1</v>
      </c>
      <c r="AU70" s="41">
        <v>1</v>
      </c>
      <c r="AV70" s="41">
        <v>1</v>
      </c>
      <c r="AW70" s="41">
        <v>1</v>
      </c>
      <c r="AX70" s="41">
        <v>1</v>
      </c>
      <c r="AY70" s="41">
        <v>1</v>
      </c>
      <c r="AZ70" s="41">
        <v>1</v>
      </c>
      <c r="BA70" s="41">
        <v>1</v>
      </c>
      <c r="BB70" s="41">
        <v>1</v>
      </c>
      <c r="BD70" s="145">
        <f t="shared" ref="BD70:BD91" si="185">HLOOKUP($BD$4,BE$5:CH$91,$A70,FALSE)</f>
        <v>1</v>
      </c>
      <c r="BE70" s="145">
        <v>5.72</v>
      </c>
      <c r="BF70" s="145">
        <v>5.44</v>
      </c>
      <c r="BG70" s="145">
        <v>5.44</v>
      </c>
      <c r="BH70" s="145">
        <v>5.46</v>
      </c>
      <c r="BI70" s="145">
        <v>5.48</v>
      </c>
      <c r="BJ70" s="41">
        <v>5.45</v>
      </c>
      <c r="BK70" s="41">
        <v>1</v>
      </c>
      <c r="BL70" s="41">
        <v>1</v>
      </c>
      <c r="BM70" s="41">
        <v>1</v>
      </c>
      <c r="BN70" s="41">
        <v>1</v>
      </c>
      <c r="BO70" s="41">
        <v>1</v>
      </c>
      <c r="BP70" s="41">
        <v>1</v>
      </c>
      <c r="BQ70" s="41">
        <v>1</v>
      </c>
      <c r="BR70" s="41">
        <v>1</v>
      </c>
      <c r="BS70" s="41">
        <v>1</v>
      </c>
      <c r="BT70" s="41">
        <v>1</v>
      </c>
      <c r="BU70" s="41">
        <v>1</v>
      </c>
      <c r="BV70" s="41">
        <v>1</v>
      </c>
      <c r="BW70" s="41">
        <v>1</v>
      </c>
      <c r="BX70" s="41">
        <v>1</v>
      </c>
      <c r="BY70" s="41">
        <v>1</v>
      </c>
      <c r="BZ70" s="41">
        <v>1</v>
      </c>
      <c r="CA70" s="41">
        <v>1</v>
      </c>
      <c r="CB70" s="41">
        <v>1</v>
      </c>
      <c r="CC70" s="41">
        <v>1</v>
      </c>
      <c r="CD70" s="41">
        <v>1</v>
      </c>
      <c r="CE70" s="41">
        <v>1</v>
      </c>
      <c r="CF70" s="41">
        <v>1</v>
      </c>
      <c r="CG70" s="41">
        <v>1</v>
      </c>
      <c r="CH70" s="41">
        <v>1</v>
      </c>
      <c r="CJ70" s="145">
        <f t="shared" ref="CJ70:CJ91" si="186">HLOOKUP($CJ$4,CK$5:DN$91,$A70,FALSE)</f>
        <v>1</v>
      </c>
      <c r="CK70" s="145">
        <v>5.37</v>
      </c>
      <c r="CL70" s="145">
        <v>4.78</v>
      </c>
      <c r="CM70" s="145">
        <v>4.78</v>
      </c>
      <c r="CN70" s="145">
        <v>4.8</v>
      </c>
      <c r="CO70" s="145">
        <v>4.9000000000000004</v>
      </c>
      <c r="CP70" s="41">
        <v>4.7699999999999996</v>
      </c>
      <c r="CQ70" s="41">
        <v>1</v>
      </c>
      <c r="CR70" s="41">
        <v>1</v>
      </c>
      <c r="CS70" s="41">
        <v>1</v>
      </c>
      <c r="CT70" s="41">
        <v>1</v>
      </c>
      <c r="CU70" s="41">
        <v>1</v>
      </c>
      <c r="CV70" s="41">
        <v>1</v>
      </c>
      <c r="CW70" s="41">
        <v>1</v>
      </c>
      <c r="CX70" s="41">
        <v>1</v>
      </c>
      <c r="CY70" s="41">
        <v>1</v>
      </c>
      <c r="CZ70" s="41">
        <v>1</v>
      </c>
      <c r="DA70" s="41">
        <v>1</v>
      </c>
      <c r="DB70" s="41">
        <v>1</v>
      </c>
      <c r="DC70" s="41">
        <v>1</v>
      </c>
      <c r="DD70" s="41">
        <v>1</v>
      </c>
      <c r="DE70" s="41">
        <v>1</v>
      </c>
      <c r="DF70" s="41">
        <v>1</v>
      </c>
      <c r="DG70" s="41">
        <v>1</v>
      </c>
      <c r="DH70" s="41">
        <v>1</v>
      </c>
      <c r="DI70" s="41">
        <v>1</v>
      </c>
      <c r="DJ70" s="41">
        <v>1</v>
      </c>
      <c r="DK70" s="41">
        <v>1</v>
      </c>
      <c r="DL70" s="41">
        <v>1</v>
      </c>
      <c r="DM70" s="41">
        <v>1</v>
      </c>
      <c r="DN70" s="41">
        <v>1</v>
      </c>
      <c r="DP70" s="145">
        <f t="shared" ref="DP70:DP91" si="187">HLOOKUP($DP$4,DQ$5:ET$91,$A70,FALSE)</f>
        <v>1</v>
      </c>
      <c r="DQ70" s="145">
        <v>7.35</v>
      </c>
      <c r="DR70" s="145">
        <v>5.92</v>
      </c>
      <c r="DS70" s="145">
        <v>5.92</v>
      </c>
      <c r="DT70" s="145">
        <v>6.95</v>
      </c>
      <c r="DU70" s="145">
        <v>6.98</v>
      </c>
      <c r="DV70" s="41">
        <v>6.95</v>
      </c>
      <c r="DW70" s="41">
        <v>1</v>
      </c>
      <c r="DX70" s="41">
        <v>1</v>
      </c>
      <c r="DY70" s="41">
        <v>1</v>
      </c>
      <c r="DZ70" s="41">
        <v>1</v>
      </c>
      <c r="EA70" s="41">
        <v>1</v>
      </c>
      <c r="EB70" s="41">
        <v>1</v>
      </c>
      <c r="EC70" s="41">
        <v>1</v>
      </c>
      <c r="ED70" s="41">
        <v>1</v>
      </c>
      <c r="EE70" s="41">
        <v>1</v>
      </c>
      <c r="EF70" s="41">
        <v>1</v>
      </c>
      <c r="EG70" s="41">
        <v>1</v>
      </c>
      <c r="EH70" s="41">
        <v>1</v>
      </c>
      <c r="EI70" s="41">
        <v>1</v>
      </c>
      <c r="EJ70" s="41">
        <v>1</v>
      </c>
      <c r="EK70" s="41">
        <v>1</v>
      </c>
      <c r="EL70" s="41">
        <v>1</v>
      </c>
      <c r="EM70" s="41">
        <v>1</v>
      </c>
      <c r="EN70" s="41">
        <v>1</v>
      </c>
      <c r="EO70" s="41">
        <v>1</v>
      </c>
      <c r="EP70" s="41">
        <v>1</v>
      </c>
      <c r="EQ70" s="41">
        <v>1</v>
      </c>
      <c r="ER70" s="41">
        <v>1</v>
      </c>
      <c r="ES70" s="41">
        <v>1</v>
      </c>
      <c r="ET70" s="41">
        <v>1</v>
      </c>
      <c r="EV70" s="145">
        <f t="shared" ref="EV70:EV91" si="188">HLOOKUP($EV$4,EW$5:FZ$91,$A70,FALSE)</f>
        <v>1</v>
      </c>
      <c r="EW70" s="145">
        <v>6.48</v>
      </c>
      <c r="EX70" s="145">
        <v>5.76</v>
      </c>
      <c r="EY70" s="145">
        <v>5.76</v>
      </c>
      <c r="EZ70" s="145">
        <v>5.77</v>
      </c>
      <c r="FA70" s="145">
        <v>5.89</v>
      </c>
      <c r="FB70" s="41">
        <v>5.75</v>
      </c>
      <c r="FC70" s="41">
        <v>1</v>
      </c>
      <c r="FD70" s="41">
        <v>1</v>
      </c>
      <c r="FE70" s="41">
        <v>1</v>
      </c>
      <c r="FF70" s="41">
        <v>1</v>
      </c>
      <c r="FG70" s="41">
        <v>1</v>
      </c>
      <c r="FH70" s="41">
        <v>1</v>
      </c>
      <c r="FI70" s="41">
        <v>1</v>
      </c>
      <c r="FJ70" s="41">
        <v>1</v>
      </c>
      <c r="FK70" s="41">
        <v>1</v>
      </c>
      <c r="FL70" s="41">
        <v>1</v>
      </c>
      <c r="FM70" s="41">
        <v>1</v>
      </c>
      <c r="FN70" s="41">
        <v>1</v>
      </c>
      <c r="FO70" s="41">
        <v>1</v>
      </c>
      <c r="FP70" s="41">
        <v>1</v>
      </c>
      <c r="FQ70" s="41">
        <v>1</v>
      </c>
      <c r="FR70" s="41">
        <v>1</v>
      </c>
      <c r="FS70" s="41">
        <v>1</v>
      </c>
      <c r="FT70" s="41">
        <v>1</v>
      </c>
      <c r="FU70" s="41">
        <v>1</v>
      </c>
      <c r="FV70" s="41">
        <v>1</v>
      </c>
      <c r="FW70" s="41">
        <v>1</v>
      </c>
      <c r="FX70" s="41">
        <v>1</v>
      </c>
      <c r="FY70" s="41">
        <v>1</v>
      </c>
      <c r="FZ70" s="41">
        <v>1</v>
      </c>
      <c r="GB70" s="145">
        <f t="shared" ref="GB70:GB91" si="189">HLOOKUP($GB$4,GC$5:HF$91,$A70,FALSE)</f>
        <v>1</v>
      </c>
      <c r="GC70" s="145">
        <v>15.31</v>
      </c>
      <c r="GD70" s="145">
        <v>15.12</v>
      </c>
      <c r="GE70" s="145">
        <v>15.12</v>
      </c>
      <c r="GF70" s="145">
        <v>15.03</v>
      </c>
      <c r="GG70" s="145">
        <v>15.28</v>
      </c>
      <c r="GH70" s="41">
        <v>14.91</v>
      </c>
      <c r="GI70" s="41">
        <v>1</v>
      </c>
      <c r="GJ70" s="41">
        <v>1</v>
      </c>
      <c r="GK70" s="41">
        <v>1</v>
      </c>
      <c r="GL70" s="41">
        <v>1</v>
      </c>
      <c r="GM70" s="41">
        <v>1</v>
      </c>
      <c r="GN70" s="41">
        <v>1</v>
      </c>
      <c r="GO70" s="41">
        <v>1</v>
      </c>
      <c r="GP70" s="41">
        <v>1</v>
      </c>
      <c r="GQ70" s="41">
        <v>1</v>
      </c>
      <c r="GR70" s="41">
        <v>1</v>
      </c>
      <c r="GS70" s="41">
        <v>1</v>
      </c>
      <c r="GT70" s="41">
        <v>1</v>
      </c>
      <c r="GU70" s="41">
        <v>1</v>
      </c>
      <c r="GV70" s="41">
        <v>1</v>
      </c>
      <c r="GW70" s="41">
        <v>1</v>
      </c>
      <c r="GX70" s="41">
        <v>1</v>
      </c>
      <c r="GY70" s="41">
        <v>1</v>
      </c>
      <c r="GZ70" s="41">
        <v>1</v>
      </c>
      <c r="HA70" s="41">
        <v>1</v>
      </c>
      <c r="HB70" s="41">
        <v>1</v>
      </c>
      <c r="HC70" s="41">
        <v>1</v>
      </c>
      <c r="HD70" s="41">
        <v>1</v>
      </c>
      <c r="HE70" s="41">
        <v>1</v>
      </c>
      <c r="HF70" s="41">
        <v>1</v>
      </c>
      <c r="HH70" s="373">
        <v>1</v>
      </c>
      <c r="HI70" s="218">
        <v>1.0900000000000001</v>
      </c>
      <c r="HJ70" s="229">
        <v>1.0900000000000001</v>
      </c>
      <c r="HK70" s="229">
        <v>1.0900000000000001</v>
      </c>
      <c r="HM70" s="373">
        <f t="shared" si="173"/>
        <v>1</v>
      </c>
      <c r="HN70" s="145">
        <v>1</v>
      </c>
    </row>
    <row r="71" spans="1:240" hidden="1" x14ac:dyDescent="0.2">
      <c r="A71" s="373">
        <f t="shared" si="183"/>
        <v>67</v>
      </c>
      <c r="B71" s="149" t="s">
        <v>169</v>
      </c>
      <c r="C71" s="150">
        <v>1.3440000000000001</v>
      </c>
      <c r="D71" s="150">
        <v>1.371</v>
      </c>
      <c r="E71" s="150">
        <v>1.304</v>
      </c>
      <c r="F71" s="150">
        <v>1.1579999999999999</v>
      </c>
      <c r="G71" s="150"/>
      <c r="H71" s="226">
        <f ca="1">OFFSET($HH71,0,'Расчет стоимости'!$M$10,1,1)</f>
        <v>1.0900000000000001</v>
      </c>
      <c r="I71" s="150">
        <v>1</v>
      </c>
      <c r="J71" s="150">
        <v>1</v>
      </c>
      <c r="K71" s="149">
        <v>1</v>
      </c>
      <c r="L71" s="149">
        <v>1</v>
      </c>
      <c r="M71" s="372">
        <v>4.2999999999999997E-2</v>
      </c>
      <c r="N71" s="145">
        <v>3.7000000000000005E-2</v>
      </c>
      <c r="O71" s="145">
        <v>1.7000000000000001E-2</v>
      </c>
      <c r="P71" s="145">
        <v>5.5E-2</v>
      </c>
      <c r="Q71" s="145">
        <v>4.0000000000000001E-3</v>
      </c>
      <c r="R71" s="152" t="s">
        <v>242</v>
      </c>
      <c r="T71" s="225">
        <f t="shared" si="182"/>
        <v>1.0463</v>
      </c>
      <c r="U71" s="225">
        <f t="shared" si="182"/>
        <v>1.0463</v>
      </c>
      <c r="V71" s="225">
        <f t="shared" si="182"/>
        <v>1.0463</v>
      </c>
      <c r="W71" s="225">
        <f t="shared" si="182"/>
        <v>1.0463</v>
      </c>
      <c r="X71" s="145">
        <f t="shared" si="184"/>
        <v>1</v>
      </c>
      <c r="Y71" s="145">
        <v>6.36</v>
      </c>
      <c r="Z71" s="145">
        <v>6.52</v>
      </c>
      <c r="AA71" s="145">
        <v>6.52</v>
      </c>
      <c r="AB71" s="145">
        <v>6.55</v>
      </c>
      <c r="AC71" s="145">
        <v>6.69</v>
      </c>
      <c r="AD71" s="41">
        <v>6.66</v>
      </c>
      <c r="AE71" s="41">
        <v>1</v>
      </c>
      <c r="AF71" s="41">
        <v>1</v>
      </c>
      <c r="AG71" s="41">
        <v>1</v>
      </c>
      <c r="AH71" s="41">
        <v>1</v>
      </c>
      <c r="AI71" s="41">
        <v>1</v>
      </c>
      <c r="AJ71" s="41">
        <v>1</v>
      </c>
      <c r="AK71" s="41">
        <v>1</v>
      </c>
      <c r="AL71" s="41">
        <v>1</v>
      </c>
      <c r="AM71" s="41">
        <v>1</v>
      </c>
      <c r="AN71" s="41">
        <v>1</v>
      </c>
      <c r="AO71" s="41">
        <v>1</v>
      </c>
      <c r="AP71" s="41">
        <v>1</v>
      </c>
      <c r="AQ71" s="41">
        <v>1</v>
      </c>
      <c r="AR71" s="41">
        <v>1</v>
      </c>
      <c r="AS71" s="41">
        <v>1</v>
      </c>
      <c r="AT71" s="41">
        <v>1</v>
      </c>
      <c r="AU71" s="41">
        <v>1</v>
      </c>
      <c r="AV71" s="41">
        <v>1</v>
      </c>
      <c r="AW71" s="41">
        <v>1</v>
      </c>
      <c r="AX71" s="41">
        <v>1</v>
      </c>
      <c r="AY71" s="41">
        <v>1</v>
      </c>
      <c r="AZ71" s="41">
        <v>1</v>
      </c>
      <c r="BA71" s="41">
        <v>1</v>
      </c>
      <c r="BB71" s="41">
        <v>1</v>
      </c>
      <c r="BD71" s="145">
        <f t="shared" si="185"/>
        <v>1</v>
      </c>
      <c r="BE71" s="145">
        <v>4.88</v>
      </c>
      <c r="BF71" s="145">
        <v>5.01</v>
      </c>
      <c r="BG71" s="145">
        <v>5.01</v>
      </c>
      <c r="BH71" s="145">
        <v>5.03</v>
      </c>
      <c r="BI71" s="145">
        <v>5.14</v>
      </c>
      <c r="BJ71" s="41">
        <v>5.12</v>
      </c>
      <c r="BK71" s="41">
        <v>1</v>
      </c>
      <c r="BL71" s="41">
        <v>1</v>
      </c>
      <c r="BM71" s="41">
        <v>1</v>
      </c>
      <c r="BN71" s="41">
        <v>1</v>
      </c>
      <c r="BO71" s="41">
        <v>1</v>
      </c>
      <c r="BP71" s="41">
        <v>1</v>
      </c>
      <c r="BQ71" s="41">
        <v>1</v>
      </c>
      <c r="BR71" s="41">
        <v>1</v>
      </c>
      <c r="BS71" s="41">
        <v>1</v>
      </c>
      <c r="BT71" s="41">
        <v>1</v>
      </c>
      <c r="BU71" s="41">
        <v>1</v>
      </c>
      <c r="BV71" s="41">
        <v>1</v>
      </c>
      <c r="BW71" s="41">
        <v>1</v>
      </c>
      <c r="BX71" s="41">
        <v>1</v>
      </c>
      <c r="BY71" s="41">
        <v>1</v>
      </c>
      <c r="BZ71" s="41">
        <v>1</v>
      </c>
      <c r="CA71" s="41">
        <v>1</v>
      </c>
      <c r="CB71" s="41">
        <v>1</v>
      </c>
      <c r="CC71" s="41">
        <v>1</v>
      </c>
      <c r="CD71" s="41">
        <v>1</v>
      </c>
      <c r="CE71" s="41">
        <v>1</v>
      </c>
      <c r="CF71" s="41">
        <v>1</v>
      </c>
      <c r="CG71" s="41">
        <v>1</v>
      </c>
      <c r="CH71" s="41">
        <v>1</v>
      </c>
      <c r="CJ71" s="145">
        <f t="shared" si="186"/>
        <v>1</v>
      </c>
      <c r="CK71" s="145">
        <v>4.68</v>
      </c>
      <c r="CL71" s="145">
        <v>4.8099999999999996</v>
      </c>
      <c r="CM71" s="145">
        <v>4.8099999999999996</v>
      </c>
      <c r="CN71" s="145">
        <v>4.83</v>
      </c>
      <c r="CO71" s="145">
        <v>4.93</v>
      </c>
      <c r="CP71" s="41">
        <v>4.91</v>
      </c>
      <c r="CQ71" s="41">
        <v>1</v>
      </c>
      <c r="CR71" s="41">
        <v>1</v>
      </c>
      <c r="CS71" s="41">
        <v>1</v>
      </c>
      <c r="CT71" s="41">
        <v>1</v>
      </c>
      <c r="CU71" s="41">
        <v>1</v>
      </c>
      <c r="CV71" s="41">
        <v>1</v>
      </c>
      <c r="CW71" s="41">
        <v>1</v>
      </c>
      <c r="CX71" s="41">
        <v>1</v>
      </c>
      <c r="CY71" s="41">
        <v>1</v>
      </c>
      <c r="CZ71" s="41">
        <v>1</v>
      </c>
      <c r="DA71" s="41">
        <v>1</v>
      </c>
      <c r="DB71" s="41">
        <v>1</v>
      </c>
      <c r="DC71" s="41">
        <v>1</v>
      </c>
      <c r="DD71" s="41">
        <v>1</v>
      </c>
      <c r="DE71" s="41">
        <v>1</v>
      </c>
      <c r="DF71" s="41">
        <v>1</v>
      </c>
      <c r="DG71" s="41">
        <v>1</v>
      </c>
      <c r="DH71" s="41">
        <v>1</v>
      </c>
      <c r="DI71" s="41">
        <v>1</v>
      </c>
      <c r="DJ71" s="41">
        <v>1</v>
      </c>
      <c r="DK71" s="41">
        <v>1</v>
      </c>
      <c r="DL71" s="41">
        <v>1</v>
      </c>
      <c r="DM71" s="41">
        <v>1</v>
      </c>
      <c r="DN71" s="41">
        <v>1</v>
      </c>
      <c r="DP71" s="145">
        <f t="shared" si="187"/>
        <v>1</v>
      </c>
      <c r="DQ71" s="145">
        <v>5.44</v>
      </c>
      <c r="DR71" s="145">
        <v>5.49</v>
      </c>
      <c r="DS71" s="145">
        <v>5.49</v>
      </c>
      <c r="DT71" s="145">
        <v>5.51</v>
      </c>
      <c r="DU71" s="145">
        <v>5.63</v>
      </c>
      <c r="DV71" s="41">
        <v>5.61</v>
      </c>
      <c r="DW71" s="41">
        <v>1</v>
      </c>
      <c r="DX71" s="41">
        <v>1</v>
      </c>
      <c r="DY71" s="41">
        <v>1</v>
      </c>
      <c r="DZ71" s="41">
        <v>1</v>
      </c>
      <c r="EA71" s="41">
        <v>1</v>
      </c>
      <c r="EB71" s="41">
        <v>1</v>
      </c>
      <c r="EC71" s="41">
        <v>1</v>
      </c>
      <c r="ED71" s="41">
        <v>1</v>
      </c>
      <c r="EE71" s="41">
        <v>1</v>
      </c>
      <c r="EF71" s="41">
        <v>1</v>
      </c>
      <c r="EG71" s="41">
        <v>1</v>
      </c>
      <c r="EH71" s="41">
        <v>1</v>
      </c>
      <c r="EI71" s="41">
        <v>1</v>
      </c>
      <c r="EJ71" s="41">
        <v>1</v>
      </c>
      <c r="EK71" s="41">
        <v>1</v>
      </c>
      <c r="EL71" s="41">
        <v>1</v>
      </c>
      <c r="EM71" s="41">
        <v>1</v>
      </c>
      <c r="EN71" s="41">
        <v>1</v>
      </c>
      <c r="EO71" s="41">
        <v>1</v>
      </c>
      <c r="EP71" s="41">
        <v>1</v>
      </c>
      <c r="EQ71" s="41">
        <v>1</v>
      </c>
      <c r="ER71" s="41">
        <v>1</v>
      </c>
      <c r="ES71" s="41">
        <v>1</v>
      </c>
      <c r="ET71" s="41">
        <v>1</v>
      </c>
      <c r="EV71" s="145">
        <f t="shared" si="188"/>
        <v>1</v>
      </c>
      <c r="EW71" s="145">
        <v>4.79</v>
      </c>
      <c r="EX71" s="145">
        <v>4.92</v>
      </c>
      <c r="EY71" s="145">
        <v>4.92</v>
      </c>
      <c r="EZ71" s="145">
        <v>4.9400000000000004</v>
      </c>
      <c r="FA71" s="145">
        <v>5.04</v>
      </c>
      <c r="FB71" s="41">
        <v>5.0199999999999996</v>
      </c>
      <c r="FC71" s="41">
        <v>1</v>
      </c>
      <c r="FD71" s="41">
        <v>1</v>
      </c>
      <c r="FE71" s="41">
        <v>1</v>
      </c>
      <c r="FF71" s="41">
        <v>1</v>
      </c>
      <c r="FG71" s="41">
        <v>1</v>
      </c>
      <c r="FH71" s="41">
        <v>1</v>
      </c>
      <c r="FI71" s="41">
        <v>1</v>
      </c>
      <c r="FJ71" s="41">
        <v>1</v>
      </c>
      <c r="FK71" s="41">
        <v>1</v>
      </c>
      <c r="FL71" s="41">
        <v>1</v>
      </c>
      <c r="FM71" s="41">
        <v>1</v>
      </c>
      <c r="FN71" s="41">
        <v>1</v>
      </c>
      <c r="FO71" s="41">
        <v>1</v>
      </c>
      <c r="FP71" s="41">
        <v>1</v>
      </c>
      <c r="FQ71" s="41">
        <v>1</v>
      </c>
      <c r="FR71" s="41">
        <v>1</v>
      </c>
      <c r="FS71" s="41">
        <v>1</v>
      </c>
      <c r="FT71" s="41">
        <v>1</v>
      </c>
      <c r="FU71" s="41">
        <v>1</v>
      </c>
      <c r="FV71" s="41">
        <v>1</v>
      </c>
      <c r="FW71" s="41">
        <v>1</v>
      </c>
      <c r="FX71" s="41">
        <v>1</v>
      </c>
      <c r="FY71" s="41">
        <v>1</v>
      </c>
      <c r="FZ71" s="41">
        <v>1</v>
      </c>
      <c r="GB71" s="145">
        <f t="shared" si="189"/>
        <v>1</v>
      </c>
      <c r="GC71" s="145">
        <v>12.6</v>
      </c>
      <c r="GD71" s="145">
        <v>12.72</v>
      </c>
      <c r="GE71" s="145">
        <v>12.72</v>
      </c>
      <c r="GF71" s="145">
        <v>12.77</v>
      </c>
      <c r="GG71" s="145">
        <v>13.04</v>
      </c>
      <c r="GH71" s="41">
        <v>12.99</v>
      </c>
      <c r="GI71" s="41">
        <v>1</v>
      </c>
      <c r="GJ71" s="41">
        <v>1</v>
      </c>
      <c r="GK71" s="41">
        <v>1</v>
      </c>
      <c r="GL71" s="41">
        <v>1</v>
      </c>
      <c r="GM71" s="41">
        <v>1</v>
      </c>
      <c r="GN71" s="41">
        <v>1</v>
      </c>
      <c r="GO71" s="41">
        <v>1</v>
      </c>
      <c r="GP71" s="41">
        <v>1</v>
      </c>
      <c r="GQ71" s="41">
        <v>1</v>
      </c>
      <c r="GR71" s="41">
        <v>1</v>
      </c>
      <c r="GS71" s="41">
        <v>1</v>
      </c>
      <c r="GT71" s="41">
        <v>1</v>
      </c>
      <c r="GU71" s="41">
        <v>1</v>
      </c>
      <c r="GV71" s="41">
        <v>1</v>
      </c>
      <c r="GW71" s="41">
        <v>1</v>
      </c>
      <c r="GX71" s="41">
        <v>1</v>
      </c>
      <c r="GY71" s="41">
        <v>1</v>
      </c>
      <c r="GZ71" s="41">
        <v>1</v>
      </c>
      <c r="HA71" s="41">
        <v>1</v>
      </c>
      <c r="HB71" s="41">
        <v>1</v>
      </c>
      <c r="HC71" s="41">
        <v>1</v>
      </c>
      <c r="HD71" s="41">
        <v>1</v>
      </c>
      <c r="HE71" s="41">
        <v>1</v>
      </c>
      <c r="HF71" s="41">
        <v>1</v>
      </c>
      <c r="HH71" s="373">
        <v>1</v>
      </c>
      <c r="HI71" s="218">
        <v>1.0900000000000001</v>
      </c>
      <c r="HJ71" s="229">
        <v>1.0900000000000001</v>
      </c>
      <c r="HK71" s="229">
        <v>1.0900000000000001</v>
      </c>
      <c r="HM71" s="373">
        <f t="shared" ref="HM71:HM91" si="190">COUNTIF($HN71:$IQ71,"&gt;0")</f>
        <v>5</v>
      </c>
      <c r="HN71" s="145">
        <v>1</v>
      </c>
      <c r="HO71" s="145">
        <v>1.0189999999999999</v>
      </c>
      <c r="HP71" s="145">
        <v>1.0324</v>
      </c>
      <c r="HQ71" s="145">
        <v>1.0463</v>
      </c>
      <c r="HR71" s="145">
        <v>1.0640000000000001</v>
      </c>
    </row>
    <row r="72" spans="1:240" hidden="1" x14ac:dyDescent="0.2">
      <c r="A72" s="373">
        <f t="shared" si="183"/>
        <v>68</v>
      </c>
      <c r="B72" s="149" t="s">
        <v>1252</v>
      </c>
      <c r="C72" s="150">
        <v>1.1200000000000001</v>
      </c>
      <c r="D72" s="150">
        <v>1.1739999999999999</v>
      </c>
      <c r="E72" s="150">
        <v>0.95799999999999996</v>
      </c>
      <c r="F72" s="150">
        <v>0.96899999999999997</v>
      </c>
      <c r="G72" s="150"/>
      <c r="H72" s="226">
        <f ca="1">OFFSET($HH72,0,'Расчет стоимости'!$M$10,1,1)</f>
        <v>1.0900000000000001</v>
      </c>
      <c r="I72" s="150">
        <v>1</v>
      </c>
      <c r="J72" s="150">
        <v>1</v>
      </c>
      <c r="K72" s="149">
        <v>1</v>
      </c>
      <c r="L72" s="149">
        <v>1</v>
      </c>
      <c r="M72" s="372">
        <v>3.2000000000000001E-2</v>
      </c>
      <c r="N72" s="145">
        <v>2.8999999999999998E-2</v>
      </c>
      <c r="O72" s="145">
        <v>1.3000000000000001E-2</v>
      </c>
      <c r="P72" s="145">
        <v>0.04</v>
      </c>
      <c r="Q72" s="145">
        <v>3.0000000000000001E-3</v>
      </c>
      <c r="R72" s="152" t="s">
        <v>236</v>
      </c>
      <c r="T72" s="225">
        <f t="shared" si="182"/>
        <v>1.0940000000000001</v>
      </c>
      <c r="U72" s="225">
        <f t="shared" si="182"/>
        <v>1.0940000000000001</v>
      </c>
      <c r="V72" s="225">
        <f t="shared" si="182"/>
        <v>1.0940000000000001</v>
      </c>
      <c r="W72" s="225">
        <f t="shared" si="182"/>
        <v>1.0940000000000001</v>
      </c>
      <c r="X72" s="145">
        <f t="shared" si="184"/>
        <v>1</v>
      </c>
      <c r="Y72" s="145">
        <v>5.72</v>
      </c>
      <c r="Z72" s="145">
        <v>5.85</v>
      </c>
      <c r="AA72" s="145">
        <v>5.85</v>
      </c>
      <c r="AB72" s="145">
        <v>5.87</v>
      </c>
      <c r="AC72" s="145">
        <v>5.99</v>
      </c>
      <c r="AD72" s="41">
        <v>5.97</v>
      </c>
      <c r="AE72" s="41">
        <v>1</v>
      </c>
      <c r="AF72" s="41">
        <v>1</v>
      </c>
      <c r="AG72" s="41">
        <v>1</v>
      </c>
      <c r="AH72" s="41">
        <v>1</v>
      </c>
      <c r="AI72" s="41">
        <v>1</v>
      </c>
      <c r="AJ72" s="41">
        <v>1</v>
      </c>
      <c r="AK72" s="41">
        <v>1</v>
      </c>
      <c r="AL72" s="41">
        <v>1</v>
      </c>
      <c r="AM72" s="41">
        <v>1</v>
      </c>
      <c r="AN72" s="41">
        <v>1</v>
      </c>
      <c r="AO72" s="41">
        <v>1</v>
      </c>
      <c r="AP72" s="41">
        <v>1</v>
      </c>
      <c r="AQ72" s="41">
        <v>1</v>
      </c>
      <c r="AR72" s="41">
        <v>1</v>
      </c>
      <c r="AS72" s="41">
        <v>1</v>
      </c>
      <c r="AT72" s="41">
        <v>1</v>
      </c>
      <c r="AU72" s="41">
        <v>1</v>
      </c>
      <c r="AV72" s="41">
        <v>1</v>
      </c>
      <c r="AW72" s="41">
        <v>1</v>
      </c>
      <c r="AX72" s="41">
        <v>1</v>
      </c>
      <c r="AY72" s="41">
        <v>1</v>
      </c>
      <c r="AZ72" s="41">
        <v>1</v>
      </c>
      <c r="BA72" s="41">
        <v>1</v>
      </c>
      <c r="BB72" s="41">
        <v>1</v>
      </c>
      <c r="BD72" s="145">
        <f t="shared" si="185"/>
        <v>1</v>
      </c>
      <c r="BE72" s="145">
        <v>4.46</v>
      </c>
      <c r="BF72" s="145">
        <v>3.87</v>
      </c>
      <c r="BG72" s="145">
        <v>3.87</v>
      </c>
      <c r="BH72" s="145">
        <v>3.71</v>
      </c>
      <c r="BI72" s="145">
        <v>3.79</v>
      </c>
      <c r="BJ72" s="41">
        <v>3.77</v>
      </c>
      <c r="BK72" s="41">
        <v>1</v>
      </c>
      <c r="BL72" s="41">
        <v>1</v>
      </c>
      <c r="BM72" s="41">
        <v>1</v>
      </c>
      <c r="BN72" s="41">
        <v>1</v>
      </c>
      <c r="BO72" s="41">
        <v>1</v>
      </c>
      <c r="BP72" s="41">
        <v>1</v>
      </c>
      <c r="BQ72" s="41">
        <v>1</v>
      </c>
      <c r="BR72" s="41">
        <v>1</v>
      </c>
      <c r="BS72" s="41">
        <v>1</v>
      </c>
      <c r="BT72" s="41">
        <v>1</v>
      </c>
      <c r="BU72" s="41">
        <v>1</v>
      </c>
      <c r="BV72" s="41">
        <v>1</v>
      </c>
      <c r="BW72" s="41">
        <v>1</v>
      </c>
      <c r="BX72" s="41">
        <v>1</v>
      </c>
      <c r="BY72" s="41">
        <v>1</v>
      </c>
      <c r="BZ72" s="41">
        <v>1</v>
      </c>
      <c r="CA72" s="41">
        <v>1</v>
      </c>
      <c r="CB72" s="41">
        <v>1</v>
      </c>
      <c r="CC72" s="41">
        <v>1</v>
      </c>
      <c r="CD72" s="41">
        <v>1</v>
      </c>
      <c r="CE72" s="41">
        <v>1</v>
      </c>
      <c r="CF72" s="41">
        <v>1</v>
      </c>
      <c r="CG72" s="41">
        <v>1</v>
      </c>
      <c r="CH72" s="41">
        <v>1</v>
      </c>
      <c r="CJ72" s="145">
        <f t="shared" si="186"/>
        <v>1</v>
      </c>
      <c r="CK72" s="145">
        <v>4.16</v>
      </c>
      <c r="CL72" s="145">
        <v>4.17</v>
      </c>
      <c r="CM72" s="145">
        <v>4.17</v>
      </c>
      <c r="CN72" s="145">
        <v>3.99</v>
      </c>
      <c r="CO72" s="145">
        <v>4.04</v>
      </c>
      <c r="CP72" s="41">
        <v>4.0199999999999996</v>
      </c>
      <c r="CQ72" s="41">
        <v>1</v>
      </c>
      <c r="CR72" s="41">
        <v>1</v>
      </c>
      <c r="CS72" s="41">
        <v>1</v>
      </c>
      <c r="CT72" s="41">
        <v>1</v>
      </c>
      <c r="CU72" s="41">
        <v>1</v>
      </c>
      <c r="CV72" s="41">
        <v>1</v>
      </c>
      <c r="CW72" s="41">
        <v>1</v>
      </c>
      <c r="CX72" s="41">
        <v>1</v>
      </c>
      <c r="CY72" s="41">
        <v>1</v>
      </c>
      <c r="CZ72" s="41">
        <v>1</v>
      </c>
      <c r="DA72" s="41">
        <v>1</v>
      </c>
      <c r="DB72" s="41">
        <v>1</v>
      </c>
      <c r="DC72" s="41">
        <v>1</v>
      </c>
      <c r="DD72" s="41">
        <v>1</v>
      </c>
      <c r="DE72" s="41">
        <v>1</v>
      </c>
      <c r="DF72" s="41">
        <v>1</v>
      </c>
      <c r="DG72" s="41">
        <v>1</v>
      </c>
      <c r="DH72" s="41">
        <v>1</v>
      </c>
      <c r="DI72" s="41">
        <v>1</v>
      </c>
      <c r="DJ72" s="41">
        <v>1</v>
      </c>
      <c r="DK72" s="41">
        <v>1</v>
      </c>
      <c r="DL72" s="41">
        <v>1</v>
      </c>
      <c r="DM72" s="41">
        <v>1</v>
      </c>
      <c r="DN72" s="41">
        <v>1</v>
      </c>
      <c r="DP72" s="145">
        <f t="shared" si="187"/>
        <v>1</v>
      </c>
      <c r="DQ72" s="145">
        <v>5.23</v>
      </c>
      <c r="DR72" s="145">
        <v>5.0199999999999996</v>
      </c>
      <c r="DS72" s="145">
        <v>5.0199999999999996</v>
      </c>
      <c r="DT72" s="145">
        <v>4.95</v>
      </c>
      <c r="DU72" s="145">
        <v>5</v>
      </c>
      <c r="DV72" s="41">
        <v>4.9800000000000004</v>
      </c>
      <c r="DW72" s="41">
        <v>1</v>
      </c>
      <c r="DX72" s="41">
        <v>1</v>
      </c>
      <c r="DY72" s="41">
        <v>1</v>
      </c>
      <c r="DZ72" s="41">
        <v>1</v>
      </c>
      <c r="EA72" s="41">
        <v>1</v>
      </c>
      <c r="EB72" s="41">
        <v>1</v>
      </c>
      <c r="EC72" s="41">
        <v>1</v>
      </c>
      <c r="ED72" s="41">
        <v>1</v>
      </c>
      <c r="EE72" s="41">
        <v>1</v>
      </c>
      <c r="EF72" s="41">
        <v>1</v>
      </c>
      <c r="EG72" s="41">
        <v>1</v>
      </c>
      <c r="EH72" s="41">
        <v>1</v>
      </c>
      <c r="EI72" s="41">
        <v>1</v>
      </c>
      <c r="EJ72" s="41">
        <v>1</v>
      </c>
      <c r="EK72" s="41">
        <v>1</v>
      </c>
      <c r="EL72" s="41">
        <v>1</v>
      </c>
      <c r="EM72" s="41">
        <v>1</v>
      </c>
      <c r="EN72" s="41">
        <v>1</v>
      </c>
      <c r="EO72" s="41">
        <v>1</v>
      </c>
      <c r="EP72" s="41">
        <v>1</v>
      </c>
      <c r="EQ72" s="41">
        <v>1</v>
      </c>
      <c r="ER72" s="41">
        <v>1</v>
      </c>
      <c r="ES72" s="41">
        <v>1</v>
      </c>
      <c r="ET72" s="41">
        <v>1</v>
      </c>
      <c r="EV72" s="145">
        <f t="shared" si="188"/>
        <v>1</v>
      </c>
      <c r="EW72" s="145">
        <v>4.8499999999999996</v>
      </c>
      <c r="EX72" s="145">
        <v>4.8</v>
      </c>
      <c r="EY72" s="145">
        <v>4.8</v>
      </c>
      <c r="EZ72" s="145">
        <v>4.66</v>
      </c>
      <c r="FA72" s="145">
        <v>4.74</v>
      </c>
      <c r="FB72" s="41">
        <v>4.72</v>
      </c>
      <c r="FC72" s="41">
        <v>1</v>
      </c>
      <c r="FD72" s="41">
        <v>1</v>
      </c>
      <c r="FE72" s="41">
        <v>1</v>
      </c>
      <c r="FF72" s="41">
        <v>1</v>
      </c>
      <c r="FG72" s="41">
        <v>1</v>
      </c>
      <c r="FH72" s="41">
        <v>1</v>
      </c>
      <c r="FI72" s="41">
        <v>1</v>
      </c>
      <c r="FJ72" s="41">
        <v>1</v>
      </c>
      <c r="FK72" s="41">
        <v>1</v>
      </c>
      <c r="FL72" s="41">
        <v>1</v>
      </c>
      <c r="FM72" s="41">
        <v>1</v>
      </c>
      <c r="FN72" s="41">
        <v>1</v>
      </c>
      <c r="FO72" s="41">
        <v>1</v>
      </c>
      <c r="FP72" s="41">
        <v>1</v>
      </c>
      <c r="FQ72" s="41">
        <v>1</v>
      </c>
      <c r="FR72" s="41">
        <v>1</v>
      </c>
      <c r="FS72" s="41">
        <v>1</v>
      </c>
      <c r="FT72" s="41">
        <v>1</v>
      </c>
      <c r="FU72" s="41">
        <v>1</v>
      </c>
      <c r="FV72" s="41">
        <v>1</v>
      </c>
      <c r="FW72" s="41">
        <v>1</v>
      </c>
      <c r="FX72" s="41">
        <v>1</v>
      </c>
      <c r="FY72" s="41">
        <v>1</v>
      </c>
      <c r="FZ72" s="41">
        <v>1</v>
      </c>
      <c r="GB72" s="145">
        <f t="shared" si="189"/>
        <v>1</v>
      </c>
      <c r="GC72" s="145">
        <v>12.49</v>
      </c>
      <c r="GD72" s="145">
        <v>12.64</v>
      </c>
      <c r="GE72" s="145">
        <v>12.64</v>
      </c>
      <c r="GF72" s="145">
        <v>12.69</v>
      </c>
      <c r="GG72" s="145">
        <v>12.96</v>
      </c>
      <c r="GH72" s="41">
        <v>12.91</v>
      </c>
      <c r="GI72" s="41">
        <v>1</v>
      </c>
      <c r="GJ72" s="41">
        <v>1</v>
      </c>
      <c r="GK72" s="41">
        <v>1</v>
      </c>
      <c r="GL72" s="41">
        <v>1</v>
      </c>
      <c r="GM72" s="41">
        <v>1</v>
      </c>
      <c r="GN72" s="41">
        <v>1</v>
      </c>
      <c r="GO72" s="41">
        <v>1</v>
      </c>
      <c r="GP72" s="41">
        <v>1</v>
      </c>
      <c r="GQ72" s="41">
        <v>1</v>
      </c>
      <c r="GR72" s="41">
        <v>1</v>
      </c>
      <c r="GS72" s="41">
        <v>1</v>
      </c>
      <c r="GT72" s="41">
        <v>1</v>
      </c>
      <c r="GU72" s="41">
        <v>1</v>
      </c>
      <c r="GV72" s="41">
        <v>1</v>
      </c>
      <c r="GW72" s="41">
        <v>1</v>
      </c>
      <c r="GX72" s="41">
        <v>1</v>
      </c>
      <c r="GY72" s="41">
        <v>1</v>
      </c>
      <c r="GZ72" s="41">
        <v>1</v>
      </c>
      <c r="HA72" s="41">
        <v>1</v>
      </c>
      <c r="HB72" s="41">
        <v>1</v>
      </c>
      <c r="HC72" s="41">
        <v>1</v>
      </c>
      <c r="HD72" s="41">
        <v>1</v>
      </c>
      <c r="HE72" s="41">
        <v>1</v>
      </c>
      <c r="HF72" s="41">
        <v>1</v>
      </c>
      <c r="HH72" s="373">
        <v>1</v>
      </c>
      <c r="HI72" s="218">
        <v>1.0900000000000001</v>
      </c>
      <c r="HJ72" s="229">
        <v>1.0900000000000001</v>
      </c>
      <c r="HK72" s="229">
        <v>1.0900000000000001</v>
      </c>
      <c r="HM72" s="373">
        <f t="shared" si="190"/>
        <v>9</v>
      </c>
      <c r="HN72" s="145">
        <v>1</v>
      </c>
      <c r="HO72" s="145">
        <v>1.0169999999999999</v>
      </c>
      <c r="HP72" s="145">
        <v>1.0549999999999999</v>
      </c>
      <c r="HQ72" s="145">
        <v>1.0940000000000001</v>
      </c>
      <c r="HR72" s="145">
        <v>1.133</v>
      </c>
      <c r="HS72" s="145">
        <v>1.171</v>
      </c>
      <c r="HT72" s="41">
        <v>1.1020000000000001</v>
      </c>
      <c r="HU72" s="41">
        <v>1.141</v>
      </c>
      <c r="HV72" s="41">
        <v>1.179</v>
      </c>
      <c r="HW72" s="41"/>
      <c r="HX72" s="41"/>
      <c r="HY72" s="41"/>
      <c r="HZ72" s="41"/>
      <c r="IA72" s="41"/>
    </row>
    <row r="73" spans="1:240" hidden="1" x14ac:dyDescent="0.2">
      <c r="A73" s="373">
        <f t="shared" si="183"/>
        <v>69</v>
      </c>
      <c r="B73" s="149" t="s">
        <v>1322</v>
      </c>
      <c r="C73" s="150">
        <v>1.488</v>
      </c>
      <c r="D73" s="150">
        <v>1.3879999999999999</v>
      </c>
      <c r="E73" s="150">
        <v>1.841</v>
      </c>
      <c r="F73" s="150">
        <v>1.42</v>
      </c>
      <c r="G73" s="150"/>
      <c r="H73" s="226">
        <f ca="1">OFFSET($HH73,0,'Расчет стоимости'!$M$10,1,1)</f>
        <v>1.1200000000000001</v>
      </c>
      <c r="I73" s="150">
        <f t="shared" ref="I73" si="191">IF(OR(I$5="VI",I$5="VII",I$5="VIII",I$5="XI"),1.6,1)</f>
        <v>1</v>
      </c>
      <c r="J73" s="150">
        <f t="shared" ref="J73" si="192">IF(OR(J$5="VI",J$5="VII",J$5="VIII",J$5="XI"),1.6,1)</f>
        <v>1</v>
      </c>
      <c r="K73" s="150">
        <f t="shared" ref="K73:L73" si="193">IF(OR(K$5="VI",K$5="VII",K$5="VIII",K$5="XI"),1.6,1)</f>
        <v>1</v>
      </c>
      <c r="L73" s="150">
        <f t="shared" si="193"/>
        <v>1</v>
      </c>
      <c r="M73" s="372">
        <v>4.2999999999999997E-2</v>
      </c>
      <c r="N73" s="145">
        <v>3.7000000000000005E-2</v>
      </c>
      <c r="O73" s="145">
        <v>1.7000000000000001E-2</v>
      </c>
      <c r="P73" s="145">
        <v>5.5E-2</v>
      </c>
      <c r="Q73" s="145">
        <v>4.0000000000000001E-3</v>
      </c>
      <c r="R73" s="152" t="s">
        <v>242</v>
      </c>
      <c r="T73" s="225">
        <f t="shared" si="182"/>
        <v>1.06</v>
      </c>
      <c r="U73" s="225">
        <f t="shared" si="182"/>
        <v>1.06</v>
      </c>
      <c r="V73" s="225">
        <f t="shared" si="182"/>
        <v>1.06</v>
      </c>
      <c r="W73" s="225">
        <f t="shared" si="182"/>
        <v>1.06</v>
      </c>
      <c r="X73" s="145">
        <f t="shared" si="184"/>
        <v>1</v>
      </c>
      <c r="Y73" s="145">
        <v>6.42</v>
      </c>
      <c r="Z73" s="145">
        <v>6.59</v>
      </c>
      <c r="AA73" s="145">
        <v>6.59</v>
      </c>
      <c r="AB73" s="145">
        <v>6.62</v>
      </c>
      <c r="AC73" s="145">
        <v>6.76</v>
      </c>
      <c r="AD73" s="41">
        <v>6.73</v>
      </c>
      <c r="AE73" s="41">
        <v>1</v>
      </c>
      <c r="AF73" s="41">
        <v>1</v>
      </c>
      <c r="AG73" s="41">
        <v>1</v>
      </c>
      <c r="AH73" s="41">
        <v>1</v>
      </c>
      <c r="AI73" s="41">
        <v>1</v>
      </c>
      <c r="AJ73" s="41">
        <v>1</v>
      </c>
      <c r="AK73" s="41">
        <v>1</v>
      </c>
      <c r="AL73" s="41">
        <v>1</v>
      </c>
      <c r="AM73" s="41">
        <v>1</v>
      </c>
      <c r="AN73" s="41">
        <v>1</v>
      </c>
      <c r="AO73" s="41">
        <v>1</v>
      </c>
      <c r="AP73" s="41">
        <v>1</v>
      </c>
      <c r="AQ73" s="41">
        <v>1</v>
      </c>
      <c r="AR73" s="41">
        <v>1</v>
      </c>
      <c r="AS73" s="41">
        <v>1</v>
      </c>
      <c r="AT73" s="41">
        <v>1</v>
      </c>
      <c r="AU73" s="41">
        <v>1</v>
      </c>
      <c r="AV73" s="41">
        <v>1</v>
      </c>
      <c r="AW73" s="41">
        <v>1</v>
      </c>
      <c r="AX73" s="41">
        <v>1</v>
      </c>
      <c r="AY73" s="41">
        <v>1</v>
      </c>
      <c r="AZ73" s="41">
        <v>1</v>
      </c>
      <c r="BA73" s="41">
        <v>1</v>
      </c>
      <c r="BB73" s="41">
        <v>1</v>
      </c>
      <c r="BD73" s="145">
        <f t="shared" si="185"/>
        <v>1</v>
      </c>
      <c r="BE73" s="145">
        <v>4.74</v>
      </c>
      <c r="BF73" s="145">
        <v>4.6399999999999997</v>
      </c>
      <c r="BG73" s="145">
        <v>4.6399999999999997</v>
      </c>
      <c r="BH73" s="145">
        <v>4.66</v>
      </c>
      <c r="BI73" s="145">
        <v>4.57</v>
      </c>
      <c r="BJ73" s="41">
        <v>4.4800000000000004</v>
      </c>
      <c r="BK73" s="41">
        <v>1</v>
      </c>
      <c r="BL73" s="41">
        <v>1</v>
      </c>
      <c r="BM73" s="41">
        <v>1</v>
      </c>
      <c r="BN73" s="41">
        <v>1</v>
      </c>
      <c r="BO73" s="41">
        <v>1</v>
      </c>
      <c r="BP73" s="41">
        <v>1</v>
      </c>
      <c r="BQ73" s="41">
        <v>1</v>
      </c>
      <c r="BR73" s="41">
        <v>1</v>
      </c>
      <c r="BS73" s="41">
        <v>1</v>
      </c>
      <c r="BT73" s="41">
        <v>1</v>
      </c>
      <c r="BU73" s="41">
        <v>1</v>
      </c>
      <c r="BV73" s="41">
        <v>1</v>
      </c>
      <c r="BW73" s="41">
        <v>1</v>
      </c>
      <c r="BX73" s="41">
        <v>1</v>
      </c>
      <c r="BY73" s="41">
        <v>1</v>
      </c>
      <c r="BZ73" s="41">
        <v>1</v>
      </c>
      <c r="CA73" s="41">
        <v>1</v>
      </c>
      <c r="CB73" s="41">
        <v>1</v>
      </c>
      <c r="CC73" s="41">
        <v>1</v>
      </c>
      <c r="CD73" s="41">
        <v>1</v>
      </c>
      <c r="CE73" s="41">
        <v>1</v>
      </c>
      <c r="CF73" s="41">
        <v>1</v>
      </c>
      <c r="CG73" s="41">
        <v>1</v>
      </c>
      <c r="CH73" s="41">
        <v>1</v>
      </c>
      <c r="CJ73" s="145">
        <f t="shared" si="186"/>
        <v>1</v>
      </c>
      <c r="CK73" s="145">
        <v>5.15</v>
      </c>
      <c r="CL73" s="145">
        <v>5.19</v>
      </c>
      <c r="CM73" s="145">
        <v>5.19</v>
      </c>
      <c r="CN73" s="145">
        <v>5.12</v>
      </c>
      <c r="CO73" s="145">
        <v>5.22</v>
      </c>
      <c r="CP73" s="41">
        <v>5.1100000000000003</v>
      </c>
      <c r="CQ73" s="41">
        <v>1</v>
      </c>
      <c r="CR73" s="41">
        <v>1</v>
      </c>
      <c r="CS73" s="41">
        <v>1</v>
      </c>
      <c r="CT73" s="41">
        <v>1</v>
      </c>
      <c r="CU73" s="41">
        <v>1</v>
      </c>
      <c r="CV73" s="41">
        <v>1</v>
      </c>
      <c r="CW73" s="41">
        <v>1</v>
      </c>
      <c r="CX73" s="41">
        <v>1</v>
      </c>
      <c r="CY73" s="41">
        <v>1</v>
      </c>
      <c r="CZ73" s="41">
        <v>1</v>
      </c>
      <c r="DA73" s="41">
        <v>1</v>
      </c>
      <c r="DB73" s="41">
        <v>1</v>
      </c>
      <c r="DC73" s="41">
        <v>1</v>
      </c>
      <c r="DD73" s="41">
        <v>1</v>
      </c>
      <c r="DE73" s="41">
        <v>1</v>
      </c>
      <c r="DF73" s="41">
        <v>1</v>
      </c>
      <c r="DG73" s="41">
        <v>1</v>
      </c>
      <c r="DH73" s="41">
        <v>1</v>
      </c>
      <c r="DI73" s="41">
        <v>1</v>
      </c>
      <c r="DJ73" s="41">
        <v>1</v>
      </c>
      <c r="DK73" s="41">
        <v>1</v>
      </c>
      <c r="DL73" s="41">
        <v>1</v>
      </c>
      <c r="DM73" s="41">
        <v>1</v>
      </c>
      <c r="DN73" s="41">
        <v>1</v>
      </c>
      <c r="DP73" s="145">
        <f t="shared" si="187"/>
        <v>1</v>
      </c>
      <c r="DQ73" s="145">
        <v>5.26</v>
      </c>
      <c r="DR73" s="145">
        <v>5.39</v>
      </c>
      <c r="DS73" s="145">
        <v>5.39</v>
      </c>
      <c r="DT73" s="145">
        <v>5.41</v>
      </c>
      <c r="DU73" s="145">
        <v>5.52</v>
      </c>
      <c r="DV73" s="41">
        <v>5.5</v>
      </c>
      <c r="DW73" s="41">
        <v>1</v>
      </c>
      <c r="DX73" s="41">
        <v>1</v>
      </c>
      <c r="DY73" s="41">
        <v>1</v>
      </c>
      <c r="DZ73" s="41">
        <v>1</v>
      </c>
      <c r="EA73" s="41">
        <v>1</v>
      </c>
      <c r="EB73" s="41">
        <v>1</v>
      </c>
      <c r="EC73" s="41">
        <v>1</v>
      </c>
      <c r="ED73" s="41">
        <v>1</v>
      </c>
      <c r="EE73" s="41">
        <v>1</v>
      </c>
      <c r="EF73" s="41">
        <v>1</v>
      </c>
      <c r="EG73" s="41">
        <v>1</v>
      </c>
      <c r="EH73" s="41">
        <v>1</v>
      </c>
      <c r="EI73" s="41">
        <v>1</v>
      </c>
      <c r="EJ73" s="41">
        <v>1</v>
      </c>
      <c r="EK73" s="41">
        <v>1</v>
      </c>
      <c r="EL73" s="41">
        <v>1</v>
      </c>
      <c r="EM73" s="41">
        <v>1</v>
      </c>
      <c r="EN73" s="41">
        <v>1</v>
      </c>
      <c r="EO73" s="41">
        <v>1</v>
      </c>
      <c r="EP73" s="41">
        <v>1</v>
      </c>
      <c r="EQ73" s="41">
        <v>1</v>
      </c>
      <c r="ER73" s="41">
        <v>1</v>
      </c>
      <c r="ES73" s="41">
        <v>1</v>
      </c>
      <c r="ET73" s="41">
        <v>1</v>
      </c>
      <c r="EV73" s="145">
        <f t="shared" si="188"/>
        <v>1</v>
      </c>
      <c r="EW73" s="145">
        <v>5.46</v>
      </c>
      <c r="EX73" s="145">
        <v>5.51</v>
      </c>
      <c r="EY73" s="145">
        <v>5.51</v>
      </c>
      <c r="EZ73" s="145">
        <v>5.49</v>
      </c>
      <c r="FA73" s="145">
        <v>5.52</v>
      </c>
      <c r="FB73" s="41">
        <v>5.5</v>
      </c>
      <c r="FC73" s="41">
        <v>1</v>
      </c>
      <c r="FD73" s="41">
        <v>1</v>
      </c>
      <c r="FE73" s="41">
        <v>1</v>
      </c>
      <c r="FF73" s="41">
        <v>1</v>
      </c>
      <c r="FG73" s="41">
        <v>1</v>
      </c>
      <c r="FH73" s="41">
        <v>1</v>
      </c>
      <c r="FI73" s="41">
        <v>1</v>
      </c>
      <c r="FJ73" s="41">
        <v>1</v>
      </c>
      <c r="FK73" s="41">
        <v>1</v>
      </c>
      <c r="FL73" s="41">
        <v>1</v>
      </c>
      <c r="FM73" s="41">
        <v>1</v>
      </c>
      <c r="FN73" s="41">
        <v>1</v>
      </c>
      <c r="FO73" s="41">
        <v>1</v>
      </c>
      <c r="FP73" s="41">
        <v>1</v>
      </c>
      <c r="FQ73" s="41">
        <v>1</v>
      </c>
      <c r="FR73" s="41">
        <v>1</v>
      </c>
      <c r="FS73" s="41">
        <v>1</v>
      </c>
      <c r="FT73" s="41">
        <v>1</v>
      </c>
      <c r="FU73" s="41">
        <v>1</v>
      </c>
      <c r="FV73" s="41">
        <v>1</v>
      </c>
      <c r="FW73" s="41">
        <v>1</v>
      </c>
      <c r="FX73" s="41">
        <v>1</v>
      </c>
      <c r="FY73" s="41">
        <v>1</v>
      </c>
      <c r="FZ73" s="41">
        <v>1</v>
      </c>
      <c r="GB73" s="145">
        <f t="shared" si="189"/>
        <v>1</v>
      </c>
      <c r="GC73" s="145">
        <v>13.2</v>
      </c>
      <c r="GD73" s="145">
        <v>13.47</v>
      </c>
      <c r="GE73" s="145">
        <v>13.47</v>
      </c>
      <c r="GF73" s="145">
        <v>13.52</v>
      </c>
      <c r="GG73" s="145">
        <v>13.8</v>
      </c>
      <c r="GH73" s="41">
        <v>13.74</v>
      </c>
      <c r="GI73" s="41">
        <v>1</v>
      </c>
      <c r="GJ73" s="41">
        <v>1</v>
      </c>
      <c r="GK73" s="41">
        <v>1</v>
      </c>
      <c r="GL73" s="41">
        <v>1</v>
      </c>
      <c r="GM73" s="41">
        <v>1</v>
      </c>
      <c r="GN73" s="41">
        <v>1</v>
      </c>
      <c r="GO73" s="41">
        <v>1</v>
      </c>
      <c r="GP73" s="41">
        <v>1</v>
      </c>
      <c r="GQ73" s="41">
        <v>1</v>
      </c>
      <c r="GR73" s="41">
        <v>1</v>
      </c>
      <c r="GS73" s="41">
        <v>1</v>
      </c>
      <c r="GT73" s="41">
        <v>1</v>
      </c>
      <c r="GU73" s="41">
        <v>1</v>
      </c>
      <c r="GV73" s="41">
        <v>1</v>
      </c>
      <c r="GW73" s="41">
        <v>1</v>
      </c>
      <c r="GX73" s="41">
        <v>1</v>
      </c>
      <c r="GY73" s="41">
        <v>1</v>
      </c>
      <c r="GZ73" s="41">
        <v>1</v>
      </c>
      <c r="HA73" s="41">
        <v>1</v>
      </c>
      <c r="HB73" s="41">
        <v>1</v>
      </c>
      <c r="HC73" s="41">
        <v>1</v>
      </c>
      <c r="HD73" s="41">
        <v>1</v>
      </c>
      <c r="HE73" s="41">
        <v>1</v>
      </c>
      <c r="HF73" s="41">
        <v>1</v>
      </c>
      <c r="HH73" s="373">
        <v>2</v>
      </c>
      <c r="HI73" s="218">
        <v>1.0900000000000001</v>
      </c>
      <c r="HJ73" s="41">
        <v>1.1200000000000001</v>
      </c>
      <c r="HK73" s="41">
        <v>1.1200000000000001</v>
      </c>
      <c r="HM73" s="373">
        <f t="shared" si="190"/>
        <v>14</v>
      </c>
      <c r="HN73" s="145">
        <v>1</v>
      </c>
      <c r="HO73" s="219">
        <v>1</v>
      </c>
      <c r="HP73" s="219">
        <v>1.05</v>
      </c>
      <c r="HQ73" s="219">
        <v>1.06</v>
      </c>
      <c r="HR73" s="219">
        <v>1.0900000000000001</v>
      </c>
      <c r="HS73" s="219">
        <v>1.8</v>
      </c>
      <c r="HT73" s="227">
        <v>1.87</v>
      </c>
      <c r="HU73" s="227">
        <v>1.41</v>
      </c>
      <c r="HV73" s="227">
        <v>1.1399999999999999</v>
      </c>
      <c r="HW73" s="227">
        <v>1.1599999999999999</v>
      </c>
      <c r="HX73" s="227">
        <v>1.31</v>
      </c>
      <c r="HY73" s="227">
        <v>1.78</v>
      </c>
      <c r="HZ73" s="227">
        <v>1.91</v>
      </c>
      <c r="IA73" s="227">
        <v>1.84</v>
      </c>
    </row>
    <row r="74" spans="1:240" ht="12.75" hidden="1" customHeight="1" x14ac:dyDescent="0.2">
      <c r="A74" s="373">
        <f>A73+1</f>
        <v>70</v>
      </c>
      <c r="B74" s="149" t="s">
        <v>1323</v>
      </c>
      <c r="C74" s="150">
        <v>1.26</v>
      </c>
      <c r="D74" s="150">
        <v>1.274</v>
      </c>
      <c r="E74" s="150">
        <v>1.2450000000000001</v>
      </c>
      <c r="F74" s="150">
        <v>1.1399999999999999</v>
      </c>
      <c r="G74" s="150"/>
      <c r="H74" s="226">
        <f ca="1">OFFSET($HH74,0,'Расчет стоимости'!$M$10,1,1)</f>
        <v>1.1200000000000001</v>
      </c>
      <c r="I74" s="150">
        <f t="shared" ref="I74" si="194">IF(OR(I$5="IV",I$5="V",I$5="VI"),2,1)</f>
        <v>2</v>
      </c>
      <c r="J74" s="150">
        <f t="shared" ref="J74" si="195">IF(OR(J$5="IV",J$5="V",J$5="VI"),2,1)</f>
        <v>2</v>
      </c>
      <c r="K74" s="150">
        <f t="shared" ref="K74:L74" si="196">IF(OR(K$5="IV",K$5="V",K$5="VI"),2,1)</f>
        <v>2</v>
      </c>
      <c r="L74" s="150">
        <f t="shared" si="196"/>
        <v>2</v>
      </c>
      <c r="M74" s="372">
        <v>3.2000000000000001E-2</v>
      </c>
      <c r="N74" s="145">
        <v>3.7000000000000005E-2</v>
      </c>
      <c r="O74" s="145">
        <v>1.7000000000000001E-2</v>
      </c>
      <c r="P74" s="145">
        <v>5.5E-2</v>
      </c>
      <c r="Q74" s="145">
        <v>4.0000000000000001E-3</v>
      </c>
      <c r="R74" s="152" t="s">
        <v>242</v>
      </c>
      <c r="S74" s="145" t="s">
        <v>266</v>
      </c>
      <c r="T74" s="225">
        <f t="shared" si="182"/>
        <v>1</v>
      </c>
      <c r="U74" s="225">
        <f t="shared" si="182"/>
        <v>1</v>
      </c>
      <c r="V74" s="225">
        <f t="shared" si="182"/>
        <v>1</v>
      </c>
      <c r="W74" s="225">
        <f t="shared" si="182"/>
        <v>1</v>
      </c>
      <c r="X74" s="145">
        <f t="shared" si="184"/>
        <v>1</v>
      </c>
      <c r="Y74" s="145">
        <v>6.73</v>
      </c>
      <c r="Z74" s="145">
        <v>6.91</v>
      </c>
      <c r="AA74" s="145">
        <v>6.91</v>
      </c>
      <c r="AB74" s="145">
        <v>6.94</v>
      </c>
      <c r="AC74" s="145">
        <v>7.09</v>
      </c>
      <c r="AD74" s="41">
        <v>7.06</v>
      </c>
      <c r="AE74" s="41">
        <v>1</v>
      </c>
      <c r="AF74" s="41">
        <v>1</v>
      </c>
      <c r="AG74" s="41">
        <v>1</v>
      </c>
      <c r="AH74" s="41">
        <v>1</v>
      </c>
      <c r="AI74" s="41">
        <v>1</v>
      </c>
      <c r="AJ74" s="41">
        <v>1</v>
      </c>
      <c r="AK74" s="41">
        <v>1</v>
      </c>
      <c r="AL74" s="41">
        <v>1</v>
      </c>
      <c r="AM74" s="41">
        <v>1</v>
      </c>
      <c r="AN74" s="41">
        <v>1</v>
      </c>
      <c r="AO74" s="41">
        <v>1</v>
      </c>
      <c r="AP74" s="41">
        <v>1</v>
      </c>
      <c r="AQ74" s="41">
        <v>1</v>
      </c>
      <c r="AR74" s="41">
        <v>1</v>
      </c>
      <c r="AS74" s="41">
        <v>1</v>
      </c>
      <c r="AT74" s="41">
        <v>1</v>
      </c>
      <c r="AU74" s="41">
        <v>1</v>
      </c>
      <c r="AV74" s="41">
        <v>1</v>
      </c>
      <c r="AW74" s="41">
        <v>1</v>
      </c>
      <c r="AX74" s="41">
        <v>1</v>
      </c>
      <c r="AY74" s="41">
        <v>1</v>
      </c>
      <c r="AZ74" s="41">
        <v>1</v>
      </c>
      <c r="BA74" s="41">
        <v>1</v>
      </c>
      <c r="BB74" s="41">
        <v>1</v>
      </c>
      <c r="BD74" s="145">
        <f t="shared" si="185"/>
        <v>1</v>
      </c>
      <c r="BE74" s="145">
        <v>4.62</v>
      </c>
      <c r="BF74" s="145">
        <v>4.72</v>
      </c>
      <c r="BG74" s="145">
        <v>4.72</v>
      </c>
      <c r="BH74" s="145">
        <v>4.6900000000000004</v>
      </c>
      <c r="BI74" s="145">
        <v>4.59</v>
      </c>
      <c r="BJ74" s="41">
        <v>4.4400000000000004</v>
      </c>
      <c r="BK74" s="41">
        <v>1</v>
      </c>
      <c r="BL74" s="41">
        <v>1</v>
      </c>
      <c r="BM74" s="41">
        <v>1</v>
      </c>
      <c r="BN74" s="41">
        <v>1</v>
      </c>
      <c r="BO74" s="41">
        <v>1</v>
      </c>
      <c r="BP74" s="41">
        <v>1</v>
      </c>
      <c r="BQ74" s="41">
        <v>1</v>
      </c>
      <c r="BR74" s="41">
        <v>1</v>
      </c>
      <c r="BS74" s="41">
        <v>1</v>
      </c>
      <c r="BT74" s="41">
        <v>1</v>
      </c>
      <c r="BU74" s="41">
        <v>1</v>
      </c>
      <c r="BV74" s="41">
        <v>1</v>
      </c>
      <c r="BW74" s="41">
        <v>1</v>
      </c>
      <c r="BX74" s="41">
        <v>1</v>
      </c>
      <c r="BY74" s="41">
        <v>1</v>
      </c>
      <c r="BZ74" s="41">
        <v>1</v>
      </c>
      <c r="CA74" s="41">
        <v>1</v>
      </c>
      <c r="CB74" s="41">
        <v>1</v>
      </c>
      <c r="CC74" s="41">
        <v>1</v>
      </c>
      <c r="CD74" s="41">
        <v>1</v>
      </c>
      <c r="CE74" s="41">
        <v>1</v>
      </c>
      <c r="CF74" s="41">
        <v>1</v>
      </c>
      <c r="CG74" s="41">
        <v>1</v>
      </c>
      <c r="CH74" s="41">
        <v>1</v>
      </c>
      <c r="CJ74" s="145">
        <f t="shared" si="186"/>
        <v>1</v>
      </c>
      <c r="CK74" s="145">
        <v>4.5</v>
      </c>
      <c r="CL74" s="145">
        <v>4.62</v>
      </c>
      <c r="CM74" s="145">
        <v>4.62</v>
      </c>
      <c r="CN74" s="145">
        <v>4.4400000000000004</v>
      </c>
      <c r="CO74" s="145">
        <v>4.3099999999999996</v>
      </c>
      <c r="CP74" s="41">
        <v>4.16</v>
      </c>
      <c r="CQ74" s="41">
        <v>1</v>
      </c>
      <c r="CR74" s="41">
        <v>1</v>
      </c>
      <c r="CS74" s="41">
        <v>1</v>
      </c>
      <c r="CT74" s="41">
        <v>1</v>
      </c>
      <c r="CU74" s="41">
        <v>1</v>
      </c>
      <c r="CV74" s="41">
        <v>1</v>
      </c>
      <c r="CW74" s="41">
        <v>1</v>
      </c>
      <c r="CX74" s="41">
        <v>1</v>
      </c>
      <c r="CY74" s="41">
        <v>1</v>
      </c>
      <c r="CZ74" s="41">
        <v>1</v>
      </c>
      <c r="DA74" s="41">
        <v>1</v>
      </c>
      <c r="DB74" s="41">
        <v>1</v>
      </c>
      <c r="DC74" s="41">
        <v>1</v>
      </c>
      <c r="DD74" s="41">
        <v>1</v>
      </c>
      <c r="DE74" s="41">
        <v>1</v>
      </c>
      <c r="DF74" s="41">
        <v>1</v>
      </c>
      <c r="DG74" s="41">
        <v>1</v>
      </c>
      <c r="DH74" s="41">
        <v>1</v>
      </c>
      <c r="DI74" s="41">
        <v>1</v>
      </c>
      <c r="DJ74" s="41">
        <v>1</v>
      </c>
      <c r="DK74" s="41">
        <v>1</v>
      </c>
      <c r="DL74" s="41">
        <v>1</v>
      </c>
      <c r="DM74" s="41">
        <v>1</v>
      </c>
      <c r="DN74" s="41">
        <v>1</v>
      </c>
      <c r="DP74" s="145">
        <f t="shared" si="187"/>
        <v>1</v>
      </c>
      <c r="DQ74" s="145">
        <v>5.65</v>
      </c>
      <c r="DR74" s="145">
        <v>5.8</v>
      </c>
      <c r="DS74" s="145">
        <v>5.8</v>
      </c>
      <c r="DT74" s="145">
        <v>5.82</v>
      </c>
      <c r="DU74" s="145">
        <v>5.94</v>
      </c>
      <c r="DV74" s="41">
        <v>5.92</v>
      </c>
      <c r="DW74" s="41">
        <v>1</v>
      </c>
      <c r="DX74" s="41">
        <v>1</v>
      </c>
      <c r="DY74" s="41">
        <v>1</v>
      </c>
      <c r="DZ74" s="41">
        <v>1</v>
      </c>
      <c r="EA74" s="41">
        <v>1</v>
      </c>
      <c r="EB74" s="41">
        <v>1</v>
      </c>
      <c r="EC74" s="41">
        <v>1</v>
      </c>
      <c r="ED74" s="41">
        <v>1</v>
      </c>
      <c r="EE74" s="41">
        <v>1</v>
      </c>
      <c r="EF74" s="41">
        <v>1</v>
      </c>
      <c r="EG74" s="41">
        <v>1</v>
      </c>
      <c r="EH74" s="41">
        <v>1</v>
      </c>
      <c r="EI74" s="41">
        <v>1</v>
      </c>
      <c r="EJ74" s="41">
        <v>1</v>
      </c>
      <c r="EK74" s="41">
        <v>1</v>
      </c>
      <c r="EL74" s="41">
        <v>1</v>
      </c>
      <c r="EM74" s="41">
        <v>1</v>
      </c>
      <c r="EN74" s="41">
        <v>1</v>
      </c>
      <c r="EO74" s="41">
        <v>1</v>
      </c>
      <c r="EP74" s="41">
        <v>1</v>
      </c>
      <c r="EQ74" s="41">
        <v>1</v>
      </c>
      <c r="ER74" s="41">
        <v>1</v>
      </c>
      <c r="ES74" s="41">
        <v>1</v>
      </c>
      <c r="ET74" s="41">
        <v>1</v>
      </c>
      <c r="EV74" s="145">
        <f t="shared" si="188"/>
        <v>1</v>
      </c>
      <c r="EW74" s="145">
        <v>5.0599999999999996</v>
      </c>
      <c r="EX74" s="145">
        <v>5.19</v>
      </c>
      <c r="EY74" s="145">
        <v>5.19</v>
      </c>
      <c r="EZ74" s="145">
        <v>5.2</v>
      </c>
      <c r="FA74" s="145">
        <v>5.16</v>
      </c>
      <c r="FB74" s="41">
        <v>5.05</v>
      </c>
      <c r="FC74" s="41">
        <v>1</v>
      </c>
      <c r="FD74" s="41">
        <v>1</v>
      </c>
      <c r="FE74" s="41">
        <v>1</v>
      </c>
      <c r="FF74" s="41">
        <v>1</v>
      </c>
      <c r="FG74" s="41">
        <v>1</v>
      </c>
      <c r="FH74" s="41">
        <v>1</v>
      </c>
      <c r="FI74" s="41">
        <v>1</v>
      </c>
      <c r="FJ74" s="41">
        <v>1</v>
      </c>
      <c r="FK74" s="41">
        <v>1</v>
      </c>
      <c r="FL74" s="41">
        <v>1</v>
      </c>
      <c r="FM74" s="41">
        <v>1</v>
      </c>
      <c r="FN74" s="41">
        <v>1</v>
      </c>
      <c r="FO74" s="41">
        <v>1</v>
      </c>
      <c r="FP74" s="41">
        <v>1</v>
      </c>
      <c r="FQ74" s="41">
        <v>1</v>
      </c>
      <c r="FR74" s="41">
        <v>1</v>
      </c>
      <c r="FS74" s="41">
        <v>1</v>
      </c>
      <c r="FT74" s="41">
        <v>1</v>
      </c>
      <c r="FU74" s="41">
        <v>1</v>
      </c>
      <c r="FV74" s="41">
        <v>1</v>
      </c>
      <c r="FW74" s="41">
        <v>1</v>
      </c>
      <c r="FX74" s="41">
        <v>1</v>
      </c>
      <c r="FY74" s="41">
        <v>1</v>
      </c>
      <c r="FZ74" s="41">
        <v>1</v>
      </c>
      <c r="GB74" s="145">
        <f t="shared" si="189"/>
        <v>1</v>
      </c>
      <c r="GC74" s="145">
        <v>13</v>
      </c>
      <c r="GD74" s="145">
        <v>13.34</v>
      </c>
      <c r="GE74" s="145">
        <v>13.34</v>
      </c>
      <c r="GF74" s="145">
        <v>13.39</v>
      </c>
      <c r="GG74" s="145">
        <v>13.67</v>
      </c>
      <c r="GH74" s="41">
        <v>13.62</v>
      </c>
      <c r="GI74" s="41">
        <v>1</v>
      </c>
      <c r="GJ74" s="41">
        <v>1</v>
      </c>
      <c r="GK74" s="41">
        <v>1</v>
      </c>
      <c r="GL74" s="41">
        <v>1</v>
      </c>
      <c r="GM74" s="41">
        <v>1</v>
      </c>
      <c r="GN74" s="41">
        <v>1</v>
      </c>
      <c r="GO74" s="41">
        <v>1</v>
      </c>
      <c r="GP74" s="41">
        <v>1</v>
      </c>
      <c r="GQ74" s="41">
        <v>1</v>
      </c>
      <c r="GR74" s="41">
        <v>1</v>
      </c>
      <c r="GS74" s="41">
        <v>1</v>
      </c>
      <c r="GT74" s="41">
        <v>1</v>
      </c>
      <c r="GU74" s="41">
        <v>1</v>
      </c>
      <c r="GV74" s="41">
        <v>1</v>
      </c>
      <c r="GW74" s="41">
        <v>1</v>
      </c>
      <c r="GX74" s="41">
        <v>1</v>
      </c>
      <c r="GY74" s="41">
        <v>1</v>
      </c>
      <c r="GZ74" s="41">
        <v>1</v>
      </c>
      <c r="HA74" s="41">
        <v>1</v>
      </c>
      <c r="HB74" s="41">
        <v>1</v>
      </c>
      <c r="HC74" s="41">
        <v>1</v>
      </c>
      <c r="HD74" s="41">
        <v>1</v>
      </c>
      <c r="HE74" s="41">
        <v>1</v>
      </c>
      <c r="HF74" s="41">
        <v>1</v>
      </c>
      <c r="HH74" s="373">
        <v>2</v>
      </c>
      <c r="HI74" s="218">
        <v>1.0900000000000001</v>
      </c>
      <c r="HJ74" s="41">
        <v>1.1200000000000001</v>
      </c>
      <c r="HK74" s="41">
        <v>1.1200000000000001</v>
      </c>
      <c r="HM74" s="373">
        <f t="shared" si="190"/>
        <v>1</v>
      </c>
      <c r="HN74" s="145">
        <v>1</v>
      </c>
      <c r="HT74" s="41"/>
      <c r="HU74" s="41"/>
      <c r="HV74" s="41"/>
      <c r="HW74" s="41"/>
      <c r="HX74" s="41"/>
      <c r="HY74" s="41"/>
      <c r="HZ74" s="41"/>
      <c r="IA74" s="41"/>
    </row>
    <row r="75" spans="1:240" ht="12.75" hidden="1" customHeight="1" x14ac:dyDescent="0.2">
      <c r="A75" s="373">
        <f>A74+1</f>
        <v>71</v>
      </c>
      <c r="B75" s="149" t="s">
        <v>1253</v>
      </c>
      <c r="C75" s="150">
        <v>1.284</v>
      </c>
      <c r="D75" s="150">
        <v>1.298</v>
      </c>
      <c r="E75" s="150">
        <v>1.202</v>
      </c>
      <c r="F75" s="150">
        <v>1.407</v>
      </c>
      <c r="G75" s="150"/>
      <c r="H75" s="226">
        <f ca="1">OFFSET($HH75,0,'Расчет стоимости'!$M$10,1,1)</f>
        <v>1.0900000000000001</v>
      </c>
      <c r="I75" s="150">
        <v>1</v>
      </c>
      <c r="J75" s="150">
        <v>1</v>
      </c>
      <c r="K75" s="149">
        <v>1</v>
      </c>
      <c r="L75" s="149">
        <v>1</v>
      </c>
      <c r="M75" s="372">
        <v>4.2999999999999997E-2</v>
      </c>
      <c r="N75" s="145">
        <v>3.7000000000000005E-2</v>
      </c>
      <c r="O75" s="145">
        <v>1.7000000000000001E-2</v>
      </c>
      <c r="P75" s="145">
        <v>5.5E-2</v>
      </c>
      <c r="Q75" s="145">
        <v>4.0000000000000001E-3</v>
      </c>
      <c r="R75" s="152" t="s">
        <v>242</v>
      </c>
      <c r="T75" s="225">
        <f t="shared" si="182"/>
        <v>1</v>
      </c>
      <c r="U75" s="225">
        <f t="shared" si="182"/>
        <v>1</v>
      </c>
      <c r="V75" s="225">
        <f t="shared" si="182"/>
        <v>1</v>
      </c>
      <c r="W75" s="225">
        <f t="shared" si="182"/>
        <v>1</v>
      </c>
      <c r="X75" s="145">
        <f t="shared" si="184"/>
        <v>1</v>
      </c>
      <c r="Y75" s="145">
        <v>6.78</v>
      </c>
      <c r="Z75" s="145">
        <v>6.96</v>
      </c>
      <c r="AA75" s="145">
        <v>6.96</v>
      </c>
      <c r="AB75" s="145">
        <v>6.99</v>
      </c>
      <c r="AC75" s="145">
        <v>7.14</v>
      </c>
      <c r="AD75" s="41">
        <v>7.11</v>
      </c>
      <c r="AE75" s="41">
        <v>1</v>
      </c>
      <c r="AF75" s="41">
        <v>1</v>
      </c>
      <c r="AG75" s="41">
        <v>1</v>
      </c>
      <c r="AH75" s="41">
        <v>1</v>
      </c>
      <c r="AI75" s="41">
        <v>1</v>
      </c>
      <c r="AJ75" s="41">
        <v>1</v>
      </c>
      <c r="AK75" s="41">
        <v>1</v>
      </c>
      <c r="AL75" s="41">
        <v>1</v>
      </c>
      <c r="AM75" s="41">
        <v>1</v>
      </c>
      <c r="AN75" s="41">
        <v>1</v>
      </c>
      <c r="AO75" s="41">
        <v>1</v>
      </c>
      <c r="AP75" s="41">
        <v>1</v>
      </c>
      <c r="AQ75" s="41">
        <v>1</v>
      </c>
      <c r="AR75" s="41">
        <v>1</v>
      </c>
      <c r="AS75" s="41">
        <v>1</v>
      </c>
      <c r="AT75" s="41">
        <v>1</v>
      </c>
      <c r="AU75" s="41">
        <v>1</v>
      </c>
      <c r="AV75" s="41">
        <v>1</v>
      </c>
      <c r="AW75" s="41">
        <v>1</v>
      </c>
      <c r="AX75" s="41">
        <v>1</v>
      </c>
      <c r="AY75" s="41">
        <v>1</v>
      </c>
      <c r="AZ75" s="41">
        <v>1</v>
      </c>
      <c r="BA75" s="41">
        <v>1</v>
      </c>
      <c r="BB75" s="41">
        <v>1</v>
      </c>
      <c r="BD75" s="145">
        <f t="shared" si="185"/>
        <v>1</v>
      </c>
      <c r="BE75" s="145">
        <v>4.42</v>
      </c>
      <c r="BF75" s="145">
        <v>4.4800000000000004</v>
      </c>
      <c r="BG75" s="145">
        <v>4.4800000000000004</v>
      </c>
      <c r="BH75" s="145">
        <v>4.5</v>
      </c>
      <c r="BI75" s="145">
        <v>4.59</v>
      </c>
      <c r="BJ75" s="41">
        <v>4.57</v>
      </c>
      <c r="BK75" s="41">
        <v>1</v>
      </c>
      <c r="BL75" s="41">
        <v>1</v>
      </c>
      <c r="BM75" s="41">
        <v>1</v>
      </c>
      <c r="BN75" s="41">
        <v>1</v>
      </c>
      <c r="BO75" s="41">
        <v>1</v>
      </c>
      <c r="BP75" s="41">
        <v>1</v>
      </c>
      <c r="BQ75" s="41">
        <v>1</v>
      </c>
      <c r="BR75" s="41">
        <v>1</v>
      </c>
      <c r="BS75" s="41">
        <v>1</v>
      </c>
      <c r="BT75" s="41">
        <v>1</v>
      </c>
      <c r="BU75" s="41">
        <v>1</v>
      </c>
      <c r="BV75" s="41">
        <v>1</v>
      </c>
      <c r="BW75" s="41">
        <v>1</v>
      </c>
      <c r="BX75" s="41">
        <v>1</v>
      </c>
      <c r="BY75" s="41">
        <v>1</v>
      </c>
      <c r="BZ75" s="41">
        <v>1</v>
      </c>
      <c r="CA75" s="41">
        <v>1</v>
      </c>
      <c r="CB75" s="41">
        <v>1</v>
      </c>
      <c r="CC75" s="41">
        <v>1</v>
      </c>
      <c r="CD75" s="41">
        <v>1</v>
      </c>
      <c r="CE75" s="41">
        <v>1</v>
      </c>
      <c r="CF75" s="41">
        <v>1</v>
      </c>
      <c r="CG75" s="41">
        <v>1</v>
      </c>
      <c r="CH75" s="41">
        <v>1</v>
      </c>
      <c r="CJ75" s="145">
        <f t="shared" si="186"/>
        <v>1</v>
      </c>
      <c r="CK75" s="145">
        <v>4.71</v>
      </c>
      <c r="CL75" s="145">
        <v>4.7699999999999996</v>
      </c>
      <c r="CM75" s="145">
        <v>4.7699999999999996</v>
      </c>
      <c r="CN75" s="145">
        <v>4.79</v>
      </c>
      <c r="CO75" s="145">
        <v>4.8499999999999996</v>
      </c>
      <c r="CP75" s="41">
        <v>4.83</v>
      </c>
      <c r="CQ75" s="41">
        <v>1</v>
      </c>
      <c r="CR75" s="41">
        <v>1</v>
      </c>
      <c r="CS75" s="41">
        <v>1</v>
      </c>
      <c r="CT75" s="41">
        <v>1</v>
      </c>
      <c r="CU75" s="41">
        <v>1</v>
      </c>
      <c r="CV75" s="41">
        <v>1</v>
      </c>
      <c r="CW75" s="41">
        <v>1</v>
      </c>
      <c r="CX75" s="41">
        <v>1</v>
      </c>
      <c r="CY75" s="41">
        <v>1</v>
      </c>
      <c r="CZ75" s="41">
        <v>1</v>
      </c>
      <c r="DA75" s="41">
        <v>1</v>
      </c>
      <c r="DB75" s="41">
        <v>1</v>
      </c>
      <c r="DC75" s="41">
        <v>1</v>
      </c>
      <c r="DD75" s="41">
        <v>1</v>
      </c>
      <c r="DE75" s="41">
        <v>1</v>
      </c>
      <c r="DF75" s="41">
        <v>1</v>
      </c>
      <c r="DG75" s="41">
        <v>1</v>
      </c>
      <c r="DH75" s="41">
        <v>1</v>
      </c>
      <c r="DI75" s="41">
        <v>1</v>
      </c>
      <c r="DJ75" s="41">
        <v>1</v>
      </c>
      <c r="DK75" s="41">
        <v>1</v>
      </c>
      <c r="DL75" s="41">
        <v>1</v>
      </c>
      <c r="DM75" s="41">
        <v>1</v>
      </c>
      <c r="DN75" s="41">
        <v>1</v>
      </c>
      <c r="DP75" s="145">
        <f t="shared" si="187"/>
        <v>1</v>
      </c>
      <c r="DQ75" s="145">
        <v>5.71</v>
      </c>
      <c r="DR75" s="145">
        <v>5.86</v>
      </c>
      <c r="DS75" s="145">
        <v>5.86</v>
      </c>
      <c r="DT75" s="145">
        <v>5.88</v>
      </c>
      <c r="DU75" s="145">
        <v>6</v>
      </c>
      <c r="DV75" s="41">
        <v>5.98</v>
      </c>
      <c r="DW75" s="41">
        <v>1</v>
      </c>
      <c r="DX75" s="41">
        <v>1</v>
      </c>
      <c r="DY75" s="41">
        <v>1</v>
      </c>
      <c r="DZ75" s="41">
        <v>1</v>
      </c>
      <c r="EA75" s="41">
        <v>1</v>
      </c>
      <c r="EB75" s="41">
        <v>1</v>
      </c>
      <c r="EC75" s="41">
        <v>1</v>
      </c>
      <c r="ED75" s="41">
        <v>1</v>
      </c>
      <c r="EE75" s="41">
        <v>1</v>
      </c>
      <c r="EF75" s="41">
        <v>1</v>
      </c>
      <c r="EG75" s="41">
        <v>1</v>
      </c>
      <c r="EH75" s="41">
        <v>1</v>
      </c>
      <c r="EI75" s="41">
        <v>1</v>
      </c>
      <c r="EJ75" s="41">
        <v>1</v>
      </c>
      <c r="EK75" s="41">
        <v>1</v>
      </c>
      <c r="EL75" s="41">
        <v>1</v>
      </c>
      <c r="EM75" s="41">
        <v>1</v>
      </c>
      <c r="EN75" s="41">
        <v>1</v>
      </c>
      <c r="EO75" s="41">
        <v>1</v>
      </c>
      <c r="EP75" s="41">
        <v>1</v>
      </c>
      <c r="EQ75" s="41">
        <v>1</v>
      </c>
      <c r="ER75" s="41">
        <v>1</v>
      </c>
      <c r="ES75" s="41">
        <v>1</v>
      </c>
      <c r="ET75" s="41">
        <v>1</v>
      </c>
      <c r="EV75" s="145">
        <f t="shared" si="188"/>
        <v>1</v>
      </c>
      <c r="EW75" s="145">
        <v>5.4</v>
      </c>
      <c r="EX75" s="145">
        <v>5.49</v>
      </c>
      <c r="EY75" s="145">
        <v>5.49</v>
      </c>
      <c r="EZ75" s="145">
        <v>5.51</v>
      </c>
      <c r="FA75" s="145">
        <v>5.63</v>
      </c>
      <c r="FB75" s="41">
        <v>5.61</v>
      </c>
      <c r="FC75" s="41">
        <v>1</v>
      </c>
      <c r="FD75" s="41">
        <v>1</v>
      </c>
      <c r="FE75" s="41">
        <v>1</v>
      </c>
      <c r="FF75" s="41">
        <v>1</v>
      </c>
      <c r="FG75" s="41">
        <v>1</v>
      </c>
      <c r="FH75" s="41">
        <v>1</v>
      </c>
      <c r="FI75" s="41">
        <v>1</v>
      </c>
      <c r="FJ75" s="41">
        <v>1</v>
      </c>
      <c r="FK75" s="41">
        <v>1</v>
      </c>
      <c r="FL75" s="41">
        <v>1</v>
      </c>
      <c r="FM75" s="41">
        <v>1</v>
      </c>
      <c r="FN75" s="41">
        <v>1</v>
      </c>
      <c r="FO75" s="41">
        <v>1</v>
      </c>
      <c r="FP75" s="41">
        <v>1</v>
      </c>
      <c r="FQ75" s="41">
        <v>1</v>
      </c>
      <c r="FR75" s="41">
        <v>1</v>
      </c>
      <c r="FS75" s="41">
        <v>1</v>
      </c>
      <c r="FT75" s="41">
        <v>1</v>
      </c>
      <c r="FU75" s="41">
        <v>1</v>
      </c>
      <c r="FV75" s="41">
        <v>1</v>
      </c>
      <c r="FW75" s="41">
        <v>1</v>
      </c>
      <c r="FX75" s="41">
        <v>1</v>
      </c>
      <c r="FY75" s="41">
        <v>1</v>
      </c>
      <c r="FZ75" s="41">
        <v>1</v>
      </c>
      <c r="GB75" s="145">
        <f t="shared" si="189"/>
        <v>1</v>
      </c>
      <c r="GC75" s="145">
        <v>13.94</v>
      </c>
      <c r="GD75" s="145">
        <v>14.3</v>
      </c>
      <c r="GE75" s="145">
        <v>14.3</v>
      </c>
      <c r="GF75" s="145">
        <v>14.36</v>
      </c>
      <c r="GG75" s="145">
        <v>14.66</v>
      </c>
      <c r="GH75" s="41">
        <v>14.6</v>
      </c>
      <c r="GI75" s="41">
        <v>1</v>
      </c>
      <c r="GJ75" s="41">
        <v>1</v>
      </c>
      <c r="GK75" s="41">
        <v>1</v>
      </c>
      <c r="GL75" s="41">
        <v>1</v>
      </c>
      <c r="GM75" s="41">
        <v>1</v>
      </c>
      <c r="GN75" s="41">
        <v>1</v>
      </c>
      <c r="GO75" s="41">
        <v>1</v>
      </c>
      <c r="GP75" s="41">
        <v>1</v>
      </c>
      <c r="GQ75" s="41">
        <v>1</v>
      </c>
      <c r="GR75" s="41">
        <v>1</v>
      </c>
      <c r="GS75" s="41">
        <v>1</v>
      </c>
      <c r="GT75" s="41">
        <v>1</v>
      </c>
      <c r="GU75" s="41">
        <v>1</v>
      </c>
      <c r="GV75" s="41">
        <v>1</v>
      </c>
      <c r="GW75" s="41">
        <v>1</v>
      </c>
      <c r="GX75" s="41">
        <v>1</v>
      </c>
      <c r="GY75" s="41">
        <v>1</v>
      </c>
      <c r="GZ75" s="41">
        <v>1</v>
      </c>
      <c r="HA75" s="41">
        <v>1</v>
      </c>
      <c r="HB75" s="41">
        <v>1</v>
      </c>
      <c r="HC75" s="41">
        <v>1</v>
      </c>
      <c r="HD75" s="41">
        <v>1</v>
      </c>
      <c r="HE75" s="41">
        <v>1</v>
      </c>
      <c r="HF75" s="41">
        <v>1</v>
      </c>
      <c r="HH75" s="373">
        <v>1</v>
      </c>
      <c r="HI75" s="218">
        <v>1.0900000000000001</v>
      </c>
      <c r="HJ75" s="229">
        <v>1.0900000000000001</v>
      </c>
      <c r="HK75" s="229">
        <v>1.0900000000000001</v>
      </c>
      <c r="HM75" s="373">
        <f t="shared" si="190"/>
        <v>1</v>
      </c>
      <c r="HN75" s="145">
        <v>1</v>
      </c>
    </row>
    <row r="76" spans="1:240" hidden="1" x14ac:dyDescent="0.2">
      <c r="A76" s="373">
        <f t="shared" si="183"/>
        <v>72</v>
      </c>
      <c r="B76" s="149" t="s">
        <v>1254</v>
      </c>
      <c r="C76" s="150">
        <v>1.1859999999999999</v>
      </c>
      <c r="D76" s="150">
        <v>1.1970000000000001</v>
      </c>
      <c r="E76" s="150">
        <v>1.181</v>
      </c>
      <c r="F76" s="150">
        <v>1.073</v>
      </c>
      <c r="G76" s="150"/>
      <c r="H76" s="226">
        <f ca="1">OFFSET($HH76,0,'Расчет стоимости'!$M$10,1,1)</f>
        <v>1.0900000000000001</v>
      </c>
      <c r="I76" s="150">
        <v>1</v>
      </c>
      <c r="J76" s="150">
        <v>1</v>
      </c>
      <c r="K76" s="149">
        <v>1</v>
      </c>
      <c r="L76" s="149">
        <v>1</v>
      </c>
      <c r="M76" s="372">
        <v>4.2999999999999997E-2</v>
      </c>
      <c r="N76" s="145">
        <v>3.7000000000000005E-2</v>
      </c>
      <c r="O76" s="145">
        <v>1.7000000000000001E-2</v>
      </c>
      <c r="P76" s="145">
        <v>5.5E-2</v>
      </c>
      <c r="Q76" s="145">
        <v>4.0000000000000001E-3</v>
      </c>
      <c r="R76" s="152" t="s">
        <v>242</v>
      </c>
      <c r="T76" s="225">
        <f t="shared" si="182"/>
        <v>1</v>
      </c>
      <c r="U76" s="225">
        <f t="shared" si="182"/>
        <v>1</v>
      </c>
      <c r="V76" s="225">
        <f t="shared" si="182"/>
        <v>1</v>
      </c>
      <c r="W76" s="225">
        <f t="shared" si="182"/>
        <v>1</v>
      </c>
      <c r="X76" s="145">
        <f t="shared" si="184"/>
        <v>1</v>
      </c>
      <c r="Y76" s="145">
        <v>5.67</v>
      </c>
      <c r="Z76" s="145">
        <v>5.74</v>
      </c>
      <c r="AA76" s="145">
        <v>5.74</v>
      </c>
      <c r="AB76" s="145">
        <v>5.76</v>
      </c>
      <c r="AC76" s="145">
        <v>5.88</v>
      </c>
      <c r="AD76" s="41">
        <v>5.86</v>
      </c>
      <c r="AE76" s="41">
        <v>1</v>
      </c>
      <c r="AF76" s="41">
        <v>1</v>
      </c>
      <c r="AG76" s="41">
        <v>1</v>
      </c>
      <c r="AH76" s="41">
        <v>1</v>
      </c>
      <c r="AI76" s="41">
        <v>1</v>
      </c>
      <c r="AJ76" s="41">
        <v>1</v>
      </c>
      <c r="AK76" s="41">
        <v>1</v>
      </c>
      <c r="AL76" s="41">
        <v>1</v>
      </c>
      <c r="AM76" s="41">
        <v>1</v>
      </c>
      <c r="AN76" s="41">
        <v>1</v>
      </c>
      <c r="AO76" s="41">
        <v>1</v>
      </c>
      <c r="AP76" s="41">
        <v>1</v>
      </c>
      <c r="AQ76" s="41">
        <v>1</v>
      </c>
      <c r="AR76" s="41">
        <v>1</v>
      </c>
      <c r="AS76" s="41">
        <v>1</v>
      </c>
      <c r="AT76" s="41">
        <v>1</v>
      </c>
      <c r="AU76" s="41">
        <v>1</v>
      </c>
      <c r="AV76" s="41">
        <v>1</v>
      </c>
      <c r="AW76" s="41">
        <v>1</v>
      </c>
      <c r="AX76" s="41">
        <v>1</v>
      </c>
      <c r="AY76" s="41">
        <v>1</v>
      </c>
      <c r="AZ76" s="41">
        <v>1</v>
      </c>
      <c r="BA76" s="41">
        <v>1</v>
      </c>
      <c r="BB76" s="41">
        <v>1</v>
      </c>
      <c r="BD76" s="145">
        <f t="shared" si="185"/>
        <v>1</v>
      </c>
      <c r="BE76" s="145">
        <v>3.66</v>
      </c>
      <c r="BF76" s="145">
        <v>3.76</v>
      </c>
      <c r="BG76" s="145">
        <v>3.76</v>
      </c>
      <c r="BH76" s="145">
        <v>3.78</v>
      </c>
      <c r="BI76" s="145">
        <v>3.86</v>
      </c>
      <c r="BJ76" s="41">
        <v>3.84</v>
      </c>
      <c r="BK76" s="41">
        <v>1</v>
      </c>
      <c r="BL76" s="41">
        <v>1</v>
      </c>
      <c r="BM76" s="41">
        <v>1</v>
      </c>
      <c r="BN76" s="41">
        <v>1</v>
      </c>
      <c r="BO76" s="41">
        <v>1</v>
      </c>
      <c r="BP76" s="41">
        <v>1</v>
      </c>
      <c r="BQ76" s="41">
        <v>1</v>
      </c>
      <c r="BR76" s="41">
        <v>1</v>
      </c>
      <c r="BS76" s="41">
        <v>1</v>
      </c>
      <c r="BT76" s="41">
        <v>1</v>
      </c>
      <c r="BU76" s="41">
        <v>1</v>
      </c>
      <c r="BV76" s="41">
        <v>1</v>
      </c>
      <c r="BW76" s="41">
        <v>1</v>
      </c>
      <c r="BX76" s="41">
        <v>1</v>
      </c>
      <c r="BY76" s="41">
        <v>1</v>
      </c>
      <c r="BZ76" s="41">
        <v>1</v>
      </c>
      <c r="CA76" s="41">
        <v>1</v>
      </c>
      <c r="CB76" s="41">
        <v>1</v>
      </c>
      <c r="CC76" s="41">
        <v>1</v>
      </c>
      <c r="CD76" s="41">
        <v>1</v>
      </c>
      <c r="CE76" s="41">
        <v>1</v>
      </c>
      <c r="CF76" s="41">
        <v>1</v>
      </c>
      <c r="CG76" s="41">
        <v>1</v>
      </c>
      <c r="CH76" s="41">
        <v>1</v>
      </c>
      <c r="CJ76" s="145">
        <f t="shared" si="186"/>
        <v>1</v>
      </c>
      <c r="CK76" s="145">
        <v>3.74</v>
      </c>
      <c r="CL76" s="145">
        <v>3.8</v>
      </c>
      <c r="CM76" s="145">
        <v>3.8</v>
      </c>
      <c r="CN76" s="145">
        <v>3.82</v>
      </c>
      <c r="CO76" s="145">
        <v>3.9</v>
      </c>
      <c r="CP76" s="41">
        <v>3.88</v>
      </c>
      <c r="CQ76" s="41">
        <v>1</v>
      </c>
      <c r="CR76" s="41">
        <v>1</v>
      </c>
      <c r="CS76" s="41">
        <v>1</v>
      </c>
      <c r="CT76" s="41">
        <v>1</v>
      </c>
      <c r="CU76" s="41">
        <v>1</v>
      </c>
      <c r="CV76" s="41">
        <v>1</v>
      </c>
      <c r="CW76" s="41">
        <v>1</v>
      </c>
      <c r="CX76" s="41">
        <v>1</v>
      </c>
      <c r="CY76" s="41">
        <v>1</v>
      </c>
      <c r="CZ76" s="41">
        <v>1</v>
      </c>
      <c r="DA76" s="41">
        <v>1</v>
      </c>
      <c r="DB76" s="41">
        <v>1</v>
      </c>
      <c r="DC76" s="41">
        <v>1</v>
      </c>
      <c r="DD76" s="41">
        <v>1</v>
      </c>
      <c r="DE76" s="41">
        <v>1</v>
      </c>
      <c r="DF76" s="41">
        <v>1</v>
      </c>
      <c r="DG76" s="41">
        <v>1</v>
      </c>
      <c r="DH76" s="41">
        <v>1</v>
      </c>
      <c r="DI76" s="41">
        <v>1</v>
      </c>
      <c r="DJ76" s="41">
        <v>1</v>
      </c>
      <c r="DK76" s="41">
        <v>1</v>
      </c>
      <c r="DL76" s="41">
        <v>1</v>
      </c>
      <c r="DM76" s="41">
        <v>1</v>
      </c>
      <c r="DN76" s="41">
        <v>1</v>
      </c>
      <c r="DP76" s="145">
        <f t="shared" si="187"/>
        <v>1</v>
      </c>
      <c r="DQ76" s="145">
        <v>4.5</v>
      </c>
      <c r="DR76" s="145">
        <v>4.62</v>
      </c>
      <c r="DS76" s="145">
        <v>4.62</v>
      </c>
      <c r="DT76" s="145">
        <v>4.6399999999999997</v>
      </c>
      <c r="DU76" s="145">
        <v>4.74</v>
      </c>
      <c r="DV76" s="41">
        <v>4.72</v>
      </c>
      <c r="DW76" s="41">
        <v>1</v>
      </c>
      <c r="DX76" s="41">
        <v>1</v>
      </c>
      <c r="DY76" s="41">
        <v>1</v>
      </c>
      <c r="DZ76" s="41">
        <v>1</v>
      </c>
      <c r="EA76" s="41">
        <v>1</v>
      </c>
      <c r="EB76" s="41">
        <v>1</v>
      </c>
      <c r="EC76" s="41">
        <v>1</v>
      </c>
      <c r="ED76" s="41">
        <v>1</v>
      </c>
      <c r="EE76" s="41">
        <v>1</v>
      </c>
      <c r="EF76" s="41">
        <v>1</v>
      </c>
      <c r="EG76" s="41">
        <v>1</v>
      </c>
      <c r="EH76" s="41">
        <v>1</v>
      </c>
      <c r="EI76" s="41">
        <v>1</v>
      </c>
      <c r="EJ76" s="41">
        <v>1</v>
      </c>
      <c r="EK76" s="41">
        <v>1</v>
      </c>
      <c r="EL76" s="41">
        <v>1</v>
      </c>
      <c r="EM76" s="41">
        <v>1</v>
      </c>
      <c r="EN76" s="41">
        <v>1</v>
      </c>
      <c r="EO76" s="41">
        <v>1</v>
      </c>
      <c r="EP76" s="41">
        <v>1</v>
      </c>
      <c r="EQ76" s="41">
        <v>1</v>
      </c>
      <c r="ER76" s="41">
        <v>1</v>
      </c>
      <c r="ES76" s="41">
        <v>1</v>
      </c>
      <c r="ET76" s="41">
        <v>1</v>
      </c>
      <c r="EV76" s="145">
        <f t="shared" si="188"/>
        <v>1</v>
      </c>
      <c r="EW76" s="145">
        <v>4.08</v>
      </c>
      <c r="EX76" s="145">
        <v>4.13</v>
      </c>
      <c r="EY76" s="145">
        <v>4.13</v>
      </c>
      <c r="EZ76" s="145">
        <v>4.1500000000000004</v>
      </c>
      <c r="FA76" s="145">
        <v>4.24</v>
      </c>
      <c r="FB76" s="41">
        <v>4.22</v>
      </c>
      <c r="FC76" s="41">
        <v>1</v>
      </c>
      <c r="FD76" s="41">
        <v>1</v>
      </c>
      <c r="FE76" s="41">
        <v>1</v>
      </c>
      <c r="FF76" s="41">
        <v>1</v>
      </c>
      <c r="FG76" s="41">
        <v>1</v>
      </c>
      <c r="FH76" s="41">
        <v>1</v>
      </c>
      <c r="FI76" s="41">
        <v>1</v>
      </c>
      <c r="FJ76" s="41">
        <v>1</v>
      </c>
      <c r="FK76" s="41">
        <v>1</v>
      </c>
      <c r="FL76" s="41">
        <v>1</v>
      </c>
      <c r="FM76" s="41">
        <v>1</v>
      </c>
      <c r="FN76" s="41">
        <v>1</v>
      </c>
      <c r="FO76" s="41">
        <v>1</v>
      </c>
      <c r="FP76" s="41">
        <v>1</v>
      </c>
      <c r="FQ76" s="41">
        <v>1</v>
      </c>
      <c r="FR76" s="41">
        <v>1</v>
      </c>
      <c r="FS76" s="41">
        <v>1</v>
      </c>
      <c r="FT76" s="41">
        <v>1</v>
      </c>
      <c r="FU76" s="41">
        <v>1</v>
      </c>
      <c r="FV76" s="41">
        <v>1</v>
      </c>
      <c r="FW76" s="41">
        <v>1</v>
      </c>
      <c r="FX76" s="41">
        <v>1</v>
      </c>
      <c r="FY76" s="41">
        <v>1</v>
      </c>
      <c r="FZ76" s="41">
        <v>1</v>
      </c>
      <c r="GB76" s="145">
        <f t="shared" si="189"/>
        <v>1</v>
      </c>
      <c r="GC76" s="145">
        <v>10.94</v>
      </c>
      <c r="GD76" s="145">
        <v>11.15</v>
      </c>
      <c r="GE76" s="145">
        <v>11.15</v>
      </c>
      <c r="GF76" s="145">
        <v>11.19</v>
      </c>
      <c r="GG76" s="145">
        <v>11.42</v>
      </c>
      <c r="GH76" s="41">
        <v>11.37</v>
      </c>
      <c r="GI76" s="41">
        <v>1</v>
      </c>
      <c r="GJ76" s="41">
        <v>1</v>
      </c>
      <c r="GK76" s="41">
        <v>1</v>
      </c>
      <c r="GL76" s="41">
        <v>1</v>
      </c>
      <c r="GM76" s="41">
        <v>1</v>
      </c>
      <c r="GN76" s="41">
        <v>1</v>
      </c>
      <c r="GO76" s="41">
        <v>1</v>
      </c>
      <c r="GP76" s="41">
        <v>1</v>
      </c>
      <c r="GQ76" s="41">
        <v>1</v>
      </c>
      <c r="GR76" s="41">
        <v>1</v>
      </c>
      <c r="GS76" s="41">
        <v>1</v>
      </c>
      <c r="GT76" s="41">
        <v>1</v>
      </c>
      <c r="GU76" s="41">
        <v>1</v>
      </c>
      <c r="GV76" s="41">
        <v>1</v>
      </c>
      <c r="GW76" s="41">
        <v>1</v>
      </c>
      <c r="GX76" s="41">
        <v>1</v>
      </c>
      <c r="GY76" s="41">
        <v>1</v>
      </c>
      <c r="GZ76" s="41">
        <v>1</v>
      </c>
      <c r="HA76" s="41">
        <v>1</v>
      </c>
      <c r="HB76" s="41">
        <v>1</v>
      </c>
      <c r="HC76" s="41">
        <v>1</v>
      </c>
      <c r="HD76" s="41">
        <v>1</v>
      </c>
      <c r="HE76" s="41">
        <v>1</v>
      </c>
      <c r="HF76" s="41">
        <v>1</v>
      </c>
      <c r="HH76" s="373">
        <v>1</v>
      </c>
      <c r="HI76" s="218">
        <v>1.0900000000000001</v>
      </c>
      <c r="HJ76" s="229">
        <v>1.0900000000000001</v>
      </c>
      <c r="HK76" s="229">
        <v>1.0900000000000001</v>
      </c>
      <c r="HM76" s="373">
        <f t="shared" si="190"/>
        <v>7</v>
      </c>
      <c r="HN76" s="219">
        <v>0.91200000000000003</v>
      </c>
      <c r="HO76" s="219">
        <v>0.92500000000000004</v>
      </c>
      <c r="HP76" s="219">
        <v>0.96199999999999997</v>
      </c>
      <c r="HQ76" s="219">
        <v>1</v>
      </c>
      <c r="HR76" s="219">
        <v>0.996</v>
      </c>
      <c r="HS76" s="219">
        <v>0.996</v>
      </c>
      <c r="HT76" s="219">
        <v>0.996</v>
      </c>
    </row>
    <row r="77" spans="1:240" hidden="1" x14ac:dyDescent="0.2">
      <c r="A77" s="373">
        <f t="shared" si="183"/>
        <v>73</v>
      </c>
      <c r="B77" s="149" t="s">
        <v>165</v>
      </c>
      <c r="C77" s="150">
        <v>1.26</v>
      </c>
      <c r="D77" s="150">
        <v>1.409</v>
      </c>
      <c r="E77" s="150">
        <v>0.79</v>
      </c>
      <c r="F77" s="150">
        <v>1.05</v>
      </c>
      <c r="G77" s="150"/>
      <c r="H77" s="226">
        <f ca="1">OFFSET($HH77,0,'Расчет стоимости'!$M$10,1,1)</f>
        <v>1.0900000000000001</v>
      </c>
      <c r="I77" s="150">
        <v>1</v>
      </c>
      <c r="J77" s="150">
        <v>1</v>
      </c>
      <c r="K77" s="149">
        <v>1</v>
      </c>
      <c r="L77" s="149">
        <v>1</v>
      </c>
      <c r="M77" s="372">
        <v>4.2999999999999997E-2</v>
      </c>
      <c r="N77" s="145">
        <v>3.7000000000000005E-2</v>
      </c>
      <c r="O77" s="145">
        <v>1.7000000000000001E-2</v>
      </c>
      <c r="P77" s="145">
        <v>5.5E-2</v>
      </c>
      <c r="Q77" s="145">
        <v>4.0000000000000001E-3</v>
      </c>
      <c r="R77" s="152" t="s">
        <v>242</v>
      </c>
      <c r="T77" s="225">
        <f t="shared" si="182"/>
        <v>1</v>
      </c>
      <c r="U77" s="225">
        <f t="shared" si="182"/>
        <v>1</v>
      </c>
      <c r="V77" s="225">
        <f t="shared" si="182"/>
        <v>1</v>
      </c>
      <c r="W77" s="225">
        <f t="shared" si="182"/>
        <v>1</v>
      </c>
      <c r="X77" s="145">
        <f t="shared" si="184"/>
        <v>1</v>
      </c>
      <c r="Y77" s="145">
        <v>6.2</v>
      </c>
      <c r="Z77" s="145">
        <v>6.29</v>
      </c>
      <c r="AA77" s="145">
        <v>6.29</v>
      </c>
      <c r="AB77" s="145">
        <v>6.32</v>
      </c>
      <c r="AC77" s="145">
        <v>6.45</v>
      </c>
      <c r="AD77" s="41">
        <v>6.42</v>
      </c>
      <c r="AE77" s="41">
        <v>1</v>
      </c>
      <c r="AF77" s="41">
        <v>1</v>
      </c>
      <c r="AG77" s="41">
        <v>1</v>
      </c>
      <c r="AH77" s="41">
        <v>1</v>
      </c>
      <c r="AI77" s="41">
        <v>1</v>
      </c>
      <c r="AJ77" s="41">
        <v>1</v>
      </c>
      <c r="AK77" s="41">
        <v>1</v>
      </c>
      <c r="AL77" s="41">
        <v>1</v>
      </c>
      <c r="AM77" s="41">
        <v>1</v>
      </c>
      <c r="AN77" s="41">
        <v>1</v>
      </c>
      <c r="AO77" s="41">
        <v>1</v>
      </c>
      <c r="AP77" s="41">
        <v>1</v>
      </c>
      <c r="AQ77" s="41">
        <v>1</v>
      </c>
      <c r="AR77" s="41">
        <v>1</v>
      </c>
      <c r="AS77" s="41">
        <v>1</v>
      </c>
      <c r="AT77" s="41">
        <v>1</v>
      </c>
      <c r="AU77" s="41">
        <v>1</v>
      </c>
      <c r="AV77" s="41">
        <v>1</v>
      </c>
      <c r="AW77" s="41">
        <v>1</v>
      </c>
      <c r="AX77" s="41">
        <v>1</v>
      </c>
      <c r="AY77" s="41">
        <v>1</v>
      </c>
      <c r="AZ77" s="41">
        <v>1</v>
      </c>
      <c r="BA77" s="41">
        <v>1</v>
      </c>
      <c r="BB77" s="41">
        <v>1</v>
      </c>
      <c r="BD77" s="145">
        <f t="shared" si="185"/>
        <v>1</v>
      </c>
      <c r="BE77" s="145">
        <v>3.82</v>
      </c>
      <c r="BF77" s="145">
        <v>3.92</v>
      </c>
      <c r="BG77" s="145">
        <v>3.92</v>
      </c>
      <c r="BH77" s="145">
        <v>3.81</v>
      </c>
      <c r="BI77" s="145">
        <v>3.89</v>
      </c>
      <c r="BJ77" s="41">
        <v>3.87</v>
      </c>
      <c r="BK77" s="41">
        <v>1</v>
      </c>
      <c r="BL77" s="41">
        <v>1</v>
      </c>
      <c r="BM77" s="41">
        <v>1</v>
      </c>
      <c r="BN77" s="41">
        <v>1</v>
      </c>
      <c r="BO77" s="41">
        <v>1</v>
      </c>
      <c r="BP77" s="41">
        <v>1</v>
      </c>
      <c r="BQ77" s="41">
        <v>1</v>
      </c>
      <c r="BR77" s="41">
        <v>1</v>
      </c>
      <c r="BS77" s="41">
        <v>1</v>
      </c>
      <c r="BT77" s="41">
        <v>1</v>
      </c>
      <c r="BU77" s="41">
        <v>1</v>
      </c>
      <c r="BV77" s="41">
        <v>1</v>
      </c>
      <c r="BW77" s="41">
        <v>1</v>
      </c>
      <c r="BX77" s="41">
        <v>1</v>
      </c>
      <c r="BY77" s="41">
        <v>1</v>
      </c>
      <c r="BZ77" s="41">
        <v>1</v>
      </c>
      <c r="CA77" s="41">
        <v>1</v>
      </c>
      <c r="CB77" s="41">
        <v>1</v>
      </c>
      <c r="CC77" s="41">
        <v>1</v>
      </c>
      <c r="CD77" s="41">
        <v>1</v>
      </c>
      <c r="CE77" s="41">
        <v>1</v>
      </c>
      <c r="CF77" s="41">
        <v>1</v>
      </c>
      <c r="CG77" s="41">
        <v>1</v>
      </c>
      <c r="CH77" s="41">
        <v>1</v>
      </c>
      <c r="CJ77" s="145">
        <f t="shared" si="186"/>
        <v>1</v>
      </c>
      <c r="CK77" s="145">
        <v>3.62</v>
      </c>
      <c r="CL77" s="145">
        <v>3.71</v>
      </c>
      <c r="CM77" s="145">
        <v>3.71</v>
      </c>
      <c r="CN77" s="145">
        <v>3.72</v>
      </c>
      <c r="CO77" s="145">
        <v>3.8</v>
      </c>
      <c r="CP77" s="41">
        <v>3.78</v>
      </c>
      <c r="CQ77" s="41">
        <v>1</v>
      </c>
      <c r="CR77" s="41">
        <v>1</v>
      </c>
      <c r="CS77" s="41">
        <v>1</v>
      </c>
      <c r="CT77" s="41">
        <v>1</v>
      </c>
      <c r="CU77" s="41">
        <v>1</v>
      </c>
      <c r="CV77" s="41">
        <v>1</v>
      </c>
      <c r="CW77" s="41">
        <v>1</v>
      </c>
      <c r="CX77" s="41">
        <v>1</v>
      </c>
      <c r="CY77" s="41">
        <v>1</v>
      </c>
      <c r="CZ77" s="41">
        <v>1</v>
      </c>
      <c r="DA77" s="41">
        <v>1</v>
      </c>
      <c r="DB77" s="41">
        <v>1</v>
      </c>
      <c r="DC77" s="41">
        <v>1</v>
      </c>
      <c r="DD77" s="41">
        <v>1</v>
      </c>
      <c r="DE77" s="41">
        <v>1</v>
      </c>
      <c r="DF77" s="41">
        <v>1</v>
      </c>
      <c r="DG77" s="41">
        <v>1</v>
      </c>
      <c r="DH77" s="41">
        <v>1</v>
      </c>
      <c r="DI77" s="41">
        <v>1</v>
      </c>
      <c r="DJ77" s="41">
        <v>1</v>
      </c>
      <c r="DK77" s="41">
        <v>1</v>
      </c>
      <c r="DL77" s="41">
        <v>1</v>
      </c>
      <c r="DM77" s="41">
        <v>1</v>
      </c>
      <c r="DN77" s="41">
        <v>1</v>
      </c>
      <c r="DP77" s="145">
        <f t="shared" si="187"/>
        <v>1</v>
      </c>
      <c r="DQ77" s="145">
        <v>4.59</v>
      </c>
      <c r="DR77" s="145">
        <v>4.72</v>
      </c>
      <c r="DS77" s="145">
        <v>4.72</v>
      </c>
      <c r="DT77" s="145">
        <v>4.74</v>
      </c>
      <c r="DU77" s="145">
        <v>4.84</v>
      </c>
      <c r="DV77" s="41">
        <v>4.82</v>
      </c>
      <c r="DW77" s="41">
        <v>1</v>
      </c>
      <c r="DX77" s="41">
        <v>1</v>
      </c>
      <c r="DY77" s="41">
        <v>1</v>
      </c>
      <c r="DZ77" s="41">
        <v>1</v>
      </c>
      <c r="EA77" s="41">
        <v>1</v>
      </c>
      <c r="EB77" s="41">
        <v>1</v>
      </c>
      <c r="EC77" s="41">
        <v>1</v>
      </c>
      <c r="ED77" s="41">
        <v>1</v>
      </c>
      <c r="EE77" s="41">
        <v>1</v>
      </c>
      <c r="EF77" s="41">
        <v>1</v>
      </c>
      <c r="EG77" s="41">
        <v>1</v>
      </c>
      <c r="EH77" s="41">
        <v>1</v>
      </c>
      <c r="EI77" s="41">
        <v>1</v>
      </c>
      <c r="EJ77" s="41">
        <v>1</v>
      </c>
      <c r="EK77" s="41">
        <v>1</v>
      </c>
      <c r="EL77" s="41">
        <v>1</v>
      </c>
      <c r="EM77" s="41">
        <v>1</v>
      </c>
      <c r="EN77" s="41">
        <v>1</v>
      </c>
      <c r="EO77" s="41">
        <v>1</v>
      </c>
      <c r="EP77" s="41">
        <v>1</v>
      </c>
      <c r="EQ77" s="41">
        <v>1</v>
      </c>
      <c r="ER77" s="41">
        <v>1</v>
      </c>
      <c r="ES77" s="41">
        <v>1</v>
      </c>
      <c r="ET77" s="41">
        <v>1</v>
      </c>
      <c r="EV77" s="145">
        <f t="shared" si="188"/>
        <v>1</v>
      </c>
      <c r="EW77" s="145">
        <v>4.17</v>
      </c>
      <c r="EX77" s="145">
        <v>4.28</v>
      </c>
      <c r="EY77" s="145">
        <v>4.28</v>
      </c>
      <c r="EZ77" s="145">
        <v>4.3</v>
      </c>
      <c r="FA77" s="145">
        <v>4.3899999999999997</v>
      </c>
      <c r="FB77" s="41">
        <v>4.37</v>
      </c>
      <c r="FC77" s="41">
        <v>1</v>
      </c>
      <c r="FD77" s="41">
        <v>1</v>
      </c>
      <c r="FE77" s="41">
        <v>1</v>
      </c>
      <c r="FF77" s="41">
        <v>1</v>
      </c>
      <c r="FG77" s="41">
        <v>1</v>
      </c>
      <c r="FH77" s="41">
        <v>1</v>
      </c>
      <c r="FI77" s="41">
        <v>1</v>
      </c>
      <c r="FJ77" s="41">
        <v>1</v>
      </c>
      <c r="FK77" s="41">
        <v>1</v>
      </c>
      <c r="FL77" s="41">
        <v>1</v>
      </c>
      <c r="FM77" s="41">
        <v>1</v>
      </c>
      <c r="FN77" s="41">
        <v>1</v>
      </c>
      <c r="FO77" s="41">
        <v>1</v>
      </c>
      <c r="FP77" s="41">
        <v>1</v>
      </c>
      <c r="FQ77" s="41">
        <v>1</v>
      </c>
      <c r="FR77" s="41">
        <v>1</v>
      </c>
      <c r="FS77" s="41">
        <v>1</v>
      </c>
      <c r="FT77" s="41">
        <v>1</v>
      </c>
      <c r="FU77" s="41">
        <v>1</v>
      </c>
      <c r="FV77" s="41">
        <v>1</v>
      </c>
      <c r="FW77" s="41">
        <v>1</v>
      </c>
      <c r="FX77" s="41">
        <v>1</v>
      </c>
      <c r="FY77" s="41">
        <v>1</v>
      </c>
      <c r="FZ77" s="41">
        <v>1</v>
      </c>
      <c r="GB77" s="145">
        <f t="shared" si="189"/>
        <v>1</v>
      </c>
      <c r="GC77" s="145">
        <v>11.05</v>
      </c>
      <c r="GD77" s="145">
        <v>11.34</v>
      </c>
      <c r="GE77" s="145">
        <v>11.34</v>
      </c>
      <c r="GF77" s="145">
        <v>11.39</v>
      </c>
      <c r="GG77" s="145">
        <v>11.63</v>
      </c>
      <c r="GH77" s="41">
        <v>11.58</v>
      </c>
      <c r="GI77" s="41">
        <v>1</v>
      </c>
      <c r="GJ77" s="41">
        <v>1</v>
      </c>
      <c r="GK77" s="41">
        <v>1</v>
      </c>
      <c r="GL77" s="41">
        <v>1</v>
      </c>
      <c r="GM77" s="41">
        <v>1</v>
      </c>
      <c r="GN77" s="41">
        <v>1</v>
      </c>
      <c r="GO77" s="41">
        <v>1</v>
      </c>
      <c r="GP77" s="41">
        <v>1</v>
      </c>
      <c r="GQ77" s="41">
        <v>1</v>
      </c>
      <c r="GR77" s="41">
        <v>1</v>
      </c>
      <c r="GS77" s="41">
        <v>1</v>
      </c>
      <c r="GT77" s="41">
        <v>1</v>
      </c>
      <c r="GU77" s="41">
        <v>1</v>
      </c>
      <c r="GV77" s="41">
        <v>1</v>
      </c>
      <c r="GW77" s="41">
        <v>1</v>
      </c>
      <c r="GX77" s="41">
        <v>1</v>
      </c>
      <c r="GY77" s="41">
        <v>1</v>
      </c>
      <c r="GZ77" s="41">
        <v>1</v>
      </c>
      <c r="HA77" s="41">
        <v>1</v>
      </c>
      <c r="HB77" s="41">
        <v>1</v>
      </c>
      <c r="HC77" s="41">
        <v>1</v>
      </c>
      <c r="HD77" s="41">
        <v>1</v>
      </c>
      <c r="HE77" s="41">
        <v>1</v>
      </c>
      <c r="HF77" s="41">
        <v>1</v>
      </c>
      <c r="HH77" s="373">
        <v>1</v>
      </c>
      <c r="HI77" s="218">
        <v>1.0900000000000001</v>
      </c>
      <c r="HJ77" s="229">
        <v>1.0900000000000001</v>
      </c>
      <c r="HK77" s="229">
        <v>1.0900000000000001</v>
      </c>
      <c r="HM77" s="373">
        <f t="shared" si="190"/>
        <v>1</v>
      </c>
      <c r="HN77" s="145">
        <f>HN76/$HN$76</f>
        <v>1</v>
      </c>
    </row>
    <row r="78" spans="1:240" hidden="1" x14ac:dyDescent="0.2">
      <c r="A78" s="373">
        <f t="shared" si="183"/>
        <v>74</v>
      </c>
      <c r="B78" s="149" t="s">
        <v>292</v>
      </c>
      <c r="C78" s="150">
        <v>1.2</v>
      </c>
      <c r="D78" s="150">
        <v>1.1399999999999999</v>
      </c>
      <c r="E78" s="150">
        <v>1.409</v>
      </c>
      <c r="F78" s="150">
        <v>1.139</v>
      </c>
      <c r="G78" s="150"/>
      <c r="H78" s="226">
        <f ca="1">OFFSET($HH78,0,'Расчет стоимости'!$M$10,1,1)</f>
        <v>1.19</v>
      </c>
      <c r="I78" s="150">
        <v>1</v>
      </c>
      <c r="J78" s="150">
        <v>1</v>
      </c>
      <c r="K78" s="149">
        <v>1</v>
      </c>
      <c r="L78" s="149">
        <v>1</v>
      </c>
      <c r="M78" s="372">
        <v>4.2999999999999997E-2</v>
      </c>
      <c r="N78" s="145">
        <v>3.7000000000000005E-2</v>
      </c>
      <c r="O78" s="145">
        <v>1.7000000000000001E-2</v>
      </c>
      <c r="P78" s="145">
        <v>5.5E-2</v>
      </c>
      <c r="Q78" s="145">
        <v>4.0000000000000001E-3</v>
      </c>
      <c r="R78" s="152" t="s">
        <v>242</v>
      </c>
      <c r="S78" s="145" t="s">
        <v>266</v>
      </c>
      <c r="T78" s="225">
        <f t="shared" si="182"/>
        <v>1.34</v>
      </c>
      <c r="U78" s="225">
        <f t="shared" si="182"/>
        <v>1.34</v>
      </c>
      <c r="V78" s="225">
        <f t="shared" si="182"/>
        <v>1.34</v>
      </c>
      <c r="W78" s="225">
        <f t="shared" si="182"/>
        <v>1.34</v>
      </c>
      <c r="X78" s="145">
        <f t="shared" si="184"/>
        <v>1</v>
      </c>
      <c r="Y78" s="145">
        <v>6.41</v>
      </c>
      <c r="Z78" s="145">
        <v>6.48</v>
      </c>
      <c r="AA78" s="145">
        <v>6.48</v>
      </c>
      <c r="AB78" s="145">
        <v>6.51</v>
      </c>
      <c r="AC78" s="145">
        <v>6.65</v>
      </c>
      <c r="AD78" s="41">
        <v>6.62</v>
      </c>
      <c r="AE78" s="41">
        <v>1</v>
      </c>
      <c r="AF78" s="41">
        <v>1</v>
      </c>
      <c r="AG78" s="41">
        <v>1</v>
      </c>
      <c r="AH78" s="41">
        <v>1</v>
      </c>
      <c r="AI78" s="41">
        <v>1</v>
      </c>
      <c r="AJ78" s="41">
        <v>1</v>
      </c>
      <c r="AK78" s="41">
        <v>1</v>
      </c>
      <c r="AL78" s="41">
        <v>1</v>
      </c>
      <c r="AM78" s="41">
        <v>1</v>
      </c>
      <c r="AN78" s="41">
        <v>1</v>
      </c>
      <c r="AO78" s="41">
        <v>1</v>
      </c>
      <c r="AP78" s="41">
        <v>1</v>
      </c>
      <c r="AQ78" s="41">
        <v>1</v>
      </c>
      <c r="AR78" s="41">
        <v>1</v>
      </c>
      <c r="AS78" s="41">
        <v>1</v>
      </c>
      <c r="AT78" s="41">
        <v>1</v>
      </c>
      <c r="AU78" s="41">
        <v>1</v>
      </c>
      <c r="AV78" s="41">
        <v>1</v>
      </c>
      <c r="AW78" s="41">
        <v>1</v>
      </c>
      <c r="AX78" s="41">
        <v>1</v>
      </c>
      <c r="AY78" s="41">
        <v>1</v>
      </c>
      <c r="AZ78" s="41">
        <v>1</v>
      </c>
      <c r="BA78" s="41">
        <v>1</v>
      </c>
      <c r="BB78" s="41">
        <v>1</v>
      </c>
      <c r="BD78" s="145">
        <f t="shared" si="185"/>
        <v>1</v>
      </c>
      <c r="BE78" s="145">
        <v>4.74</v>
      </c>
      <c r="BF78" s="145">
        <v>4.74</v>
      </c>
      <c r="BG78" s="145">
        <v>4.74</v>
      </c>
      <c r="BH78" s="145">
        <v>4.76</v>
      </c>
      <c r="BI78" s="145">
        <v>4.8600000000000003</v>
      </c>
      <c r="BJ78" s="41">
        <v>4.84</v>
      </c>
      <c r="BK78" s="41">
        <v>1</v>
      </c>
      <c r="BL78" s="41">
        <v>1</v>
      </c>
      <c r="BM78" s="41">
        <v>1</v>
      </c>
      <c r="BN78" s="41">
        <v>1</v>
      </c>
      <c r="BO78" s="41">
        <v>1</v>
      </c>
      <c r="BP78" s="41">
        <v>1</v>
      </c>
      <c r="BQ78" s="41">
        <v>1</v>
      </c>
      <c r="BR78" s="41">
        <v>1</v>
      </c>
      <c r="BS78" s="41">
        <v>1</v>
      </c>
      <c r="BT78" s="41">
        <v>1</v>
      </c>
      <c r="BU78" s="41">
        <v>1</v>
      </c>
      <c r="BV78" s="41">
        <v>1</v>
      </c>
      <c r="BW78" s="41">
        <v>1</v>
      </c>
      <c r="BX78" s="41">
        <v>1</v>
      </c>
      <c r="BY78" s="41">
        <v>1</v>
      </c>
      <c r="BZ78" s="41">
        <v>1</v>
      </c>
      <c r="CA78" s="41">
        <v>1</v>
      </c>
      <c r="CB78" s="41">
        <v>1</v>
      </c>
      <c r="CC78" s="41">
        <v>1</v>
      </c>
      <c r="CD78" s="41">
        <v>1</v>
      </c>
      <c r="CE78" s="41">
        <v>1</v>
      </c>
      <c r="CF78" s="41">
        <v>1</v>
      </c>
      <c r="CG78" s="41">
        <v>1</v>
      </c>
      <c r="CH78" s="41">
        <v>1</v>
      </c>
      <c r="CJ78" s="145">
        <f t="shared" si="186"/>
        <v>1</v>
      </c>
      <c r="CK78" s="145">
        <v>4.3899999999999997</v>
      </c>
      <c r="CL78" s="145">
        <v>4.38</v>
      </c>
      <c r="CM78" s="145">
        <v>4.38</v>
      </c>
      <c r="CN78" s="145">
        <v>4.4000000000000004</v>
      </c>
      <c r="CO78" s="145">
        <v>4.49</v>
      </c>
      <c r="CP78" s="41">
        <v>4.47</v>
      </c>
      <c r="CQ78" s="41">
        <v>1</v>
      </c>
      <c r="CR78" s="41">
        <v>1</v>
      </c>
      <c r="CS78" s="41">
        <v>1</v>
      </c>
      <c r="CT78" s="41">
        <v>1</v>
      </c>
      <c r="CU78" s="41">
        <v>1</v>
      </c>
      <c r="CV78" s="41">
        <v>1</v>
      </c>
      <c r="CW78" s="41">
        <v>1</v>
      </c>
      <c r="CX78" s="41">
        <v>1</v>
      </c>
      <c r="CY78" s="41">
        <v>1</v>
      </c>
      <c r="CZ78" s="41">
        <v>1</v>
      </c>
      <c r="DA78" s="41">
        <v>1</v>
      </c>
      <c r="DB78" s="41">
        <v>1</v>
      </c>
      <c r="DC78" s="41">
        <v>1</v>
      </c>
      <c r="DD78" s="41">
        <v>1</v>
      </c>
      <c r="DE78" s="41">
        <v>1</v>
      </c>
      <c r="DF78" s="41">
        <v>1</v>
      </c>
      <c r="DG78" s="41">
        <v>1</v>
      </c>
      <c r="DH78" s="41">
        <v>1</v>
      </c>
      <c r="DI78" s="41">
        <v>1</v>
      </c>
      <c r="DJ78" s="41">
        <v>1</v>
      </c>
      <c r="DK78" s="41">
        <v>1</v>
      </c>
      <c r="DL78" s="41">
        <v>1</v>
      </c>
      <c r="DM78" s="41">
        <v>1</v>
      </c>
      <c r="DN78" s="41">
        <v>1</v>
      </c>
      <c r="DP78" s="145">
        <f t="shared" si="187"/>
        <v>1</v>
      </c>
      <c r="DQ78" s="145">
        <v>5.55</v>
      </c>
      <c r="DR78" s="145">
        <v>5.65</v>
      </c>
      <c r="DS78" s="145">
        <v>5.65</v>
      </c>
      <c r="DT78" s="145">
        <v>5.67</v>
      </c>
      <c r="DU78" s="145">
        <v>5.79</v>
      </c>
      <c r="DV78" s="41">
        <v>5.77</v>
      </c>
      <c r="DW78" s="41">
        <v>1</v>
      </c>
      <c r="DX78" s="41">
        <v>1</v>
      </c>
      <c r="DY78" s="41">
        <v>1</v>
      </c>
      <c r="DZ78" s="41">
        <v>1</v>
      </c>
      <c r="EA78" s="41">
        <v>1</v>
      </c>
      <c r="EB78" s="41">
        <v>1</v>
      </c>
      <c r="EC78" s="41">
        <v>1</v>
      </c>
      <c r="ED78" s="41">
        <v>1</v>
      </c>
      <c r="EE78" s="41">
        <v>1</v>
      </c>
      <c r="EF78" s="41">
        <v>1</v>
      </c>
      <c r="EG78" s="41">
        <v>1</v>
      </c>
      <c r="EH78" s="41">
        <v>1</v>
      </c>
      <c r="EI78" s="41">
        <v>1</v>
      </c>
      <c r="EJ78" s="41">
        <v>1</v>
      </c>
      <c r="EK78" s="41">
        <v>1</v>
      </c>
      <c r="EL78" s="41">
        <v>1</v>
      </c>
      <c r="EM78" s="41">
        <v>1</v>
      </c>
      <c r="EN78" s="41">
        <v>1</v>
      </c>
      <c r="EO78" s="41">
        <v>1</v>
      </c>
      <c r="EP78" s="41">
        <v>1</v>
      </c>
      <c r="EQ78" s="41">
        <v>1</v>
      </c>
      <c r="ER78" s="41">
        <v>1</v>
      </c>
      <c r="ES78" s="41">
        <v>1</v>
      </c>
      <c r="ET78" s="41">
        <v>1</v>
      </c>
      <c r="EV78" s="145">
        <f t="shared" si="188"/>
        <v>1</v>
      </c>
      <c r="EW78" s="145">
        <v>4.68</v>
      </c>
      <c r="EX78" s="145">
        <v>4.7300000000000004</v>
      </c>
      <c r="EY78" s="145">
        <v>4.7300000000000004</v>
      </c>
      <c r="EZ78" s="145">
        <v>4.75</v>
      </c>
      <c r="FA78" s="145">
        <v>4.8499999999999996</v>
      </c>
      <c r="FB78" s="41">
        <v>4.83</v>
      </c>
      <c r="FC78" s="41">
        <v>1</v>
      </c>
      <c r="FD78" s="41">
        <v>1</v>
      </c>
      <c r="FE78" s="41">
        <v>1</v>
      </c>
      <c r="FF78" s="41">
        <v>1</v>
      </c>
      <c r="FG78" s="41">
        <v>1</v>
      </c>
      <c r="FH78" s="41">
        <v>1</v>
      </c>
      <c r="FI78" s="41">
        <v>1</v>
      </c>
      <c r="FJ78" s="41">
        <v>1</v>
      </c>
      <c r="FK78" s="41">
        <v>1</v>
      </c>
      <c r="FL78" s="41">
        <v>1</v>
      </c>
      <c r="FM78" s="41">
        <v>1</v>
      </c>
      <c r="FN78" s="41">
        <v>1</v>
      </c>
      <c r="FO78" s="41">
        <v>1</v>
      </c>
      <c r="FP78" s="41">
        <v>1</v>
      </c>
      <c r="FQ78" s="41">
        <v>1</v>
      </c>
      <c r="FR78" s="41">
        <v>1</v>
      </c>
      <c r="FS78" s="41">
        <v>1</v>
      </c>
      <c r="FT78" s="41">
        <v>1</v>
      </c>
      <c r="FU78" s="41">
        <v>1</v>
      </c>
      <c r="FV78" s="41">
        <v>1</v>
      </c>
      <c r="FW78" s="41">
        <v>1</v>
      </c>
      <c r="FX78" s="41">
        <v>1</v>
      </c>
      <c r="FY78" s="41">
        <v>1</v>
      </c>
      <c r="FZ78" s="41">
        <v>1</v>
      </c>
      <c r="GB78" s="145">
        <f t="shared" si="189"/>
        <v>1</v>
      </c>
      <c r="GC78" s="145">
        <v>12.91</v>
      </c>
      <c r="GD78" s="145">
        <v>13.25</v>
      </c>
      <c r="GE78" s="145">
        <v>13.25</v>
      </c>
      <c r="GF78" s="145">
        <v>13.3</v>
      </c>
      <c r="GG78" s="145">
        <v>13.58</v>
      </c>
      <c r="GH78" s="41">
        <v>13.53</v>
      </c>
      <c r="GI78" s="41">
        <v>1</v>
      </c>
      <c r="GJ78" s="41">
        <v>1</v>
      </c>
      <c r="GK78" s="41">
        <v>1</v>
      </c>
      <c r="GL78" s="41">
        <v>1</v>
      </c>
      <c r="GM78" s="41">
        <v>1</v>
      </c>
      <c r="GN78" s="41">
        <v>1</v>
      </c>
      <c r="GO78" s="41">
        <v>1</v>
      </c>
      <c r="GP78" s="41">
        <v>1</v>
      </c>
      <c r="GQ78" s="41">
        <v>1</v>
      </c>
      <c r="GR78" s="41">
        <v>1</v>
      </c>
      <c r="GS78" s="41">
        <v>1</v>
      </c>
      <c r="GT78" s="41">
        <v>1</v>
      </c>
      <c r="GU78" s="41">
        <v>1</v>
      </c>
      <c r="GV78" s="41">
        <v>1</v>
      </c>
      <c r="GW78" s="41">
        <v>1</v>
      </c>
      <c r="GX78" s="41">
        <v>1</v>
      </c>
      <c r="GY78" s="41">
        <v>1</v>
      </c>
      <c r="GZ78" s="41">
        <v>1</v>
      </c>
      <c r="HA78" s="41">
        <v>1</v>
      </c>
      <c r="HB78" s="41">
        <v>1</v>
      </c>
      <c r="HC78" s="41">
        <v>1</v>
      </c>
      <c r="HD78" s="41">
        <v>1</v>
      </c>
      <c r="HE78" s="41">
        <v>1</v>
      </c>
      <c r="HF78" s="41">
        <v>1</v>
      </c>
      <c r="HH78" s="373">
        <v>2</v>
      </c>
      <c r="HI78" s="218">
        <v>1.0900000000000001</v>
      </c>
      <c r="HJ78" s="41">
        <v>1.19</v>
      </c>
      <c r="HK78" s="41">
        <v>1.19</v>
      </c>
      <c r="HM78" s="373">
        <f t="shared" si="190"/>
        <v>19</v>
      </c>
      <c r="HN78" s="145">
        <v>1</v>
      </c>
      <c r="HO78" s="219">
        <v>1.37</v>
      </c>
      <c r="HP78" s="219">
        <v>1.1200000000000001</v>
      </c>
      <c r="HQ78" s="219">
        <v>1.34</v>
      </c>
      <c r="HR78" s="219">
        <v>1.25</v>
      </c>
      <c r="HS78" s="219">
        <v>1.1299999999999999</v>
      </c>
      <c r="HT78" s="219">
        <v>1.39</v>
      </c>
      <c r="HU78" s="219">
        <v>1.1299999999999999</v>
      </c>
      <c r="HV78" s="219">
        <v>1.25</v>
      </c>
      <c r="HW78" s="219">
        <v>1.24</v>
      </c>
      <c r="HX78" s="219">
        <v>1.25</v>
      </c>
      <c r="HY78" s="219">
        <v>1.29</v>
      </c>
      <c r="HZ78" s="219">
        <v>1.1000000000000001</v>
      </c>
      <c r="IA78" s="219">
        <v>1.3</v>
      </c>
      <c r="IB78" s="219">
        <v>1.0900000000000001</v>
      </c>
      <c r="IC78" s="219">
        <v>1.37</v>
      </c>
      <c r="ID78" s="219">
        <v>1.1399999999999999</v>
      </c>
      <c r="IE78" s="219">
        <v>1.61</v>
      </c>
      <c r="IF78" s="219">
        <v>1.29</v>
      </c>
    </row>
    <row r="79" spans="1:240" ht="12.75" hidden="1" customHeight="1" x14ac:dyDescent="0.2">
      <c r="A79" s="373">
        <f>A78+1</f>
        <v>75</v>
      </c>
      <c r="B79" s="41" t="s">
        <v>264</v>
      </c>
      <c r="C79" s="41">
        <v>1.1319999999999999</v>
      </c>
      <c r="D79" s="41">
        <v>1.2010000000000001</v>
      </c>
      <c r="E79" s="41">
        <v>0.89800000000000002</v>
      </c>
      <c r="F79" s="41">
        <v>1.1140000000000001</v>
      </c>
      <c r="H79" s="226">
        <f ca="1">OFFSET($HH79,0,'Расчет стоимости'!$M$10,1,1)</f>
        <v>1.0900000000000001</v>
      </c>
      <c r="I79" s="150">
        <v>1</v>
      </c>
      <c r="J79" s="150">
        <v>1</v>
      </c>
      <c r="K79" s="149">
        <v>1</v>
      </c>
      <c r="L79" s="149">
        <v>1</v>
      </c>
      <c r="M79" s="372">
        <v>4.2999999999999997E-2</v>
      </c>
      <c r="N79" s="145">
        <v>3.7000000000000005E-2</v>
      </c>
      <c r="O79" s="145">
        <v>1.7000000000000001E-2</v>
      </c>
      <c r="P79" s="145">
        <v>5.5E-2</v>
      </c>
      <c r="Q79" s="145">
        <v>4.0000000000000001E-3</v>
      </c>
      <c r="R79" s="152" t="s">
        <v>242</v>
      </c>
      <c r="S79" s="145" t="s">
        <v>266</v>
      </c>
      <c r="T79" s="225">
        <f t="shared" si="182"/>
        <v>1</v>
      </c>
      <c r="U79" s="225">
        <f t="shared" si="182"/>
        <v>1</v>
      </c>
      <c r="V79" s="225">
        <f t="shared" si="182"/>
        <v>1</v>
      </c>
      <c r="W79" s="225">
        <f t="shared" si="182"/>
        <v>1</v>
      </c>
      <c r="X79" s="145">
        <f t="shared" si="184"/>
        <v>1</v>
      </c>
      <c r="Y79" s="145">
        <v>6.3</v>
      </c>
      <c r="Z79" s="145">
        <v>6.46</v>
      </c>
      <c r="AA79" s="145">
        <v>6.46</v>
      </c>
      <c r="AB79" s="145">
        <v>6.49</v>
      </c>
      <c r="AC79" s="145">
        <v>6.63</v>
      </c>
      <c r="AD79" s="41">
        <v>6.6</v>
      </c>
      <c r="AE79" s="41">
        <v>1</v>
      </c>
      <c r="AF79" s="41">
        <v>1</v>
      </c>
      <c r="AG79" s="41">
        <v>1</v>
      </c>
      <c r="AH79" s="41">
        <v>1</v>
      </c>
      <c r="AI79" s="41">
        <v>1</v>
      </c>
      <c r="AJ79" s="41">
        <v>1</v>
      </c>
      <c r="AK79" s="41">
        <v>1</v>
      </c>
      <c r="AL79" s="41">
        <v>1</v>
      </c>
      <c r="AM79" s="41">
        <v>1</v>
      </c>
      <c r="AN79" s="41">
        <v>1</v>
      </c>
      <c r="AO79" s="41">
        <v>1</v>
      </c>
      <c r="AP79" s="41">
        <v>1</v>
      </c>
      <c r="AQ79" s="41">
        <v>1</v>
      </c>
      <c r="AR79" s="41">
        <v>1</v>
      </c>
      <c r="AS79" s="41">
        <v>1</v>
      </c>
      <c r="AT79" s="41">
        <v>1</v>
      </c>
      <c r="AU79" s="41">
        <v>1</v>
      </c>
      <c r="AV79" s="41">
        <v>1</v>
      </c>
      <c r="AW79" s="41">
        <v>1</v>
      </c>
      <c r="AX79" s="41">
        <v>1</v>
      </c>
      <c r="AY79" s="41">
        <v>1</v>
      </c>
      <c r="AZ79" s="41">
        <v>1</v>
      </c>
      <c r="BA79" s="41">
        <v>1</v>
      </c>
      <c r="BB79" s="41">
        <v>1</v>
      </c>
      <c r="BD79" s="145">
        <f t="shared" si="185"/>
        <v>1</v>
      </c>
      <c r="BE79" s="145">
        <v>4.08</v>
      </c>
      <c r="BF79" s="145">
        <v>4.16</v>
      </c>
      <c r="BG79" s="145">
        <v>4.16</v>
      </c>
      <c r="BH79" s="145">
        <v>4.18</v>
      </c>
      <c r="BI79" s="145">
        <v>4.2699999999999996</v>
      </c>
      <c r="BJ79" s="41">
        <v>4.25</v>
      </c>
      <c r="BK79" s="41">
        <v>1</v>
      </c>
      <c r="BL79" s="41">
        <v>1</v>
      </c>
      <c r="BM79" s="41">
        <v>1</v>
      </c>
      <c r="BN79" s="41">
        <v>1</v>
      </c>
      <c r="BO79" s="41">
        <v>1</v>
      </c>
      <c r="BP79" s="41">
        <v>1</v>
      </c>
      <c r="BQ79" s="41">
        <v>1</v>
      </c>
      <c r="BR79" s="41">
        <v>1</v>
      </c>
      <c r="BS79" s="41">
        <v>1</v>
      </c>
      <c r="BT79" s="41">
        <v>1</v>
      </c>
      <c r="BU79" s="41">
        <v>1</v>
      </c>
      <c r="BV79" s="41">
        <v>1</v>
      </c>
      <c r="BW79" s="41">
        <v>1</v>
      </c>
      <c r="BX79" s="41">
        <v>1</v>
      </c>
      <c r="BY79" s="41">
        <v>1</v>
      </c>
      <c r="BZ79" s="41">
        <v>1</v>
      </c>
      <c r="CA79" s="41">
        <v>1</v>
      </c>
      <c r="CB79" s="41">
        <v>1</v>
      </c>
      <c r="CC79" s="41">
        <v>1</v>
      </c>
      <c r="CD79" s="41">
        <v>1</v>
      </c>
      <c r="CE79" s="41">
        <v>1</v>
      </c>
      <c r="CF79" s="41">
        <v>1</v>
      </c>
      <c r="CG79" s="41">
        <v>1</v>
      </c>
      <c r="CH79" s="41">
        <v>1</v>
      </c>
      <c r="CJ79" s="145">
        <f t="shared" si="186"/>
        <v>1</v>
      </c>
      <c r="CK79" s="145">
        <v>4.32</v>
      </c>
      <c r="CL79" s="145">
        <v>4.42</v>
      </c>
      <c r="CM79" s="145">
        <v>4.42</v>
      </c>
      <c r="CN79" s="145">
        <v>4.4400000000000004</v>
      </c>
      <c r="CO79" s="145">
        <v>4.5</v>
      </c>
      <c r="CP79" s="41">
        <v>4.4800000000000004</v>
      </c>
      <c r="CQ79" s="41">
        <v>1</v>
      </c>
      <c r="CR79" s="41">
        <v>1</v>
      </c>
      <c r="CS79" s="41">
        <v>1</v>
      </c>
      <c r="CT79" s="41">
        <v>1</v>
      </c>
      <c r="CU79" s="41">
        <v>1</v>
      </c>
      <c r="CV79" s="41">
        <v>1</v>
      </c>
      <c r="CW79" s="41">
        <v>1</v>
      </c>
      <c r="CX79" s="41">
        <v>1</v>
      </c>
      <c r="CY79" s="41">
        <v>1</v>
      </c>
      <c r="CZ79" s="41">
        <v>1</v>
      </c>
      <c r="DA79" s="41">
        <v>1</v>
      </c>
      <c r="DB79" s="41">
        <v>1</v>
      </c>
      <c r="DC79" s="41">
        <v>1</v>
      </c>
      <c r="DD79" s="41">
        <v>1</v>
      </c>
      <c r="DE79" s="41">
        <v>1</v>
      </c>
      <c r="DF79" s="41">
        <v>1</v>
      </c>
      <c r="DG79" s="41">
        <v>1</v>
      </c>
      <c r="DH79" s="41">
        <v>1</v>
      </c>
      <c r="DI79" s="41">
        <v>1</v>
      </c>
      <c r="DJ79" s="41">
        <v>1</v>
      </c>
      <c r="DK79" s="41">
        <v>1</v>
      </c>
      <c r="DL79" s="41">
        <v>1</v>
      </c>
      <c r="DM79" s="41">
        <v>1</v>
      </c>
      <c r="DN79" s="41">
        <v>1</v>
      </c>
      <c r="DP79" s="145">
        <f t="shared" si="187"/>
        <v>1</v>
      </c>
      <c r="DQ79" s="145">
        <v>4.7</v>
      </c>
      <c r="DR79" s="145">
        <v>4.83</v>
      </c>
      <c r="DS79" s="145">
        <v>4.83</v>
      </c>
      <c r="DT79" s="145">
        <v>4.8499999999999996</v>
      </c>
      <c r="DU79" s="145">
        <v>4.95</v>
      </c>
      <c r="DV79" s="41">
        <v>4.93</v>
      </c>
      <c r="DW79" s="41">
        <v>1</v>
      </c>
      <c r="DX79" s="41">
        <v>1</v>
      </c>
      <c r="DY79" s="41">
        <v>1</v>
      </c>
      <c r="DZ79" s="41">
        <v>1</v>
      </c>
      <c r="EA79" s="41">
        <v>1</v>
      </c>
      <c r="EB79" s="41">
        <v>1</v>
      </c>
      <c r="EC79" s="41">
        <v>1</v>
      </c>
      <c r="ED79" s="41">
        <v>1</v>
      </c>
      <c r="EE79" s="41">
        <v>1</v>
      </c>
      <c r="EF79" s="41">
        <v>1</v>
      </c>
      <c r="EG79" s="41">
        <v>1</v>
      </c>
      <c r="EH79" s="41">
        <v>1</v>
      </c>
      <c r="EI79" s="41">
        <v>1</v>
      </c>
      <c r="EJ79" s="41">
        <v>1</v>
      </c>
      <c r="EK79" s="41">
        <v>1</v>
      </c>
      <c r="EL79" s="41">
        <v>1</v>
      </c>
      <c r="EM79" s="41">
        <v>1</v>
      </c>
      <c r="EN79" s="41">
        <v>1</v>
      </c>
      <c r="EO79" s="41">
        <v>1</v>
      </c>
      <c r="EP79" s="41">
        <v>1</v>
      </c>
      <c r="EQ79" s="41">
        <v>1</v>
      </c>
      <c r="ER79" s="41">
        <v>1</v>
      </c>
      <c r="ES79" s="41">
        <v>1</v>
      </c>
      <c r="ET79" s="41">
        <v>1</v>
      </c>
      <c r="EV79" s="145">
        <f t="shared" si="188"/>
        <v>1</v>
      </c>
      <c r="EW79" s="145">
        <v>4.45</v>
      </c>
      <c r="EX79" s="145">
        <v>4.57</v>
      </c>
      <c r="EY79" s="145">
        <v>4.57</v>
      </c>
      <c r="EZ79" s="145">
        <v>4.59</v>
      </c>
      <c r="FA79" s="145">
        <v>4.6900000000000004</v>
      </c>
      <c r="FB79" s="41">
        <v>4.67</v>
      </c>
      <c r="FC79" s="41">
        <v>1</v>
      </c>
      <c r="FD79" s="41">
        <v>1</v>
      </c>
      <c r="FE79" s="41">
        <v>1</v>
      </c>
      <c r="FF79" s="41">
        <v>1</v>
      </c>
      <c r="FG79" s="41">
        <v>1</v>
      </c>
      <c r="FH79" s="41">
        <v>1</v>
      </c>
      <c r="FI79" s="41">
        <v>1</v>
      </c>
      <c r="FJ79" s="41">
        <v>1</v>
      </c>
      <c r="FK79" s="41">
        <v>1</v>
      </c>
      <c r="FL79" s="41">
        <v>1</v>
      </c>
      <c r="FM79" s="41">
        <v>1</v>
      </c>
      <c r="FN79" s="41">
        <v>1</v>
      </c>
      <c r="FO79" s="41">
        <v>1</v>
      </c>
      <c r="FP79" s="41">
        <v>1</v>
      </c>
      <c r="FQ79" s="41">
        <v>1</v>
      </c>
      <c r="FR79" s="41">
        <v>1</v>
      </c>
      <c r="FS79" s="41">
        <v>1</v>
      </c>
      <c r="FT79" s="41">
        <v>1</v>
      </c>
      <c r="FU79" s="41">
        <v>1</v>
      </c>
      <c r="FV79" s="41">
        <v>1</v>
      </c>
      <c r="FW79" s="41">
        <v>1</v>
      </c>
      <c r="FX79" s="41">
        <v>1</v>
      </c>
      <c r="FY79" s="41">
        <v>1</v>
      </c>
      <c r="FZ79" s="41">
        <v>1</v>
      </c>
      <c r="GB79" s="145">
        <f t="shared" si="189"/>
        <v>1</v>
      </c>
      <c r="GC79" s="145">
        <v>11.78</v>
      </c>
      <c r="GD79" s="145">
        <v>12.09</v>
      </c>
      <c r="GE79" s="145">
        <v>12.09</v>
      </c>
      <c r="GF79" s="145">
        <v>12.14</v>
      </c>
      <c r="GG79" s="145">
        <v>12.39</v>
      </c>
      <c r="GH79" s="41">
        <v>12.34</v>
      </c>
      <c r="GI79" s="41">
        <v>1</v>
      </c>
      <c r="GJ79" s="41">
        <v>1</v>
      </c>
      <c r="GK79" s="41">
        <v>1</v>
      </c>
      <c r="GL79" s="41">
        <v>1</v>
      </c>
      <c r="GM79" s="41">
        <v>1</v>
      </c>
      <c r="GN79" s="41">
        <v>1</v>
      </c>
      <c r="GO79" s="41">
        <v>1</v>
      </c>
      <c r="GP79" s="41">
        <v>1</v>
      </c>
      <c r="GQ79" s="41">
        <v>1</v>
      </c>
      <c r="GR79" s="41">
        <v>1</v>
      </c>
      <c r="GS79" s="41">
        <v>1</v>
      </c>
      <c r="GT79" s="41">
        <v>1</v>
      </c>
      <c r="GU79" s="41">
        <v>1</v>
      </c>
      <c r="GV79" s="41">
        <v>1</v>
      </c>
      <c r="GW79" s="41">
        <v>1</v>
      </c>
      <c r="GX79" s="41">
        <v>1</v>
      </c>
      <c r="GY79" s="41">
        <v>1</v>
      </c>
      <c r="GZ79" s="41">
        <v>1</v>
      </c>
      <c r="HA79" s="41">
        <v>1</v>
      </c>
      <c r="HB79" s="41">
        <v>1</v>
      </c>
      <c r="HC79" s="41">
        <v>1</v>
      </c>
      <c r="HD79" s="41">
        <v>1</v>
      </c>
      <c r="HE79" s="41">
        <v>1</v>
      </c>
      <c r="HF79" s="41">
        <v>1</v>
      </c>
      <c r="HH79" s="373">
        <v>1</v>
      </c>
      <c r="HI79" s="218">
        <v>1.0900000000000001</v>
      </c>
      <c r="HJ79" s="229">
        <v>1.0900000000000001</v>
      </c>
      <c r="HK79" s="229">
        <v>1.0900000000000001</v>
      </c>
      <c r="HM79" s="373">
        <f t="shared" si="190"/>
        <v>3</v>
      </c>
      <c r="HN79" s="145">
        <v>1</v>
      </c>
      <c r="HO79" s="145">
        <v>1.018</v>
      </c>
      <c r="HP79" s="145">
        <v>1.0289999999999999</v>
      </c>
    </row>
    <row r="80" spans="1:240" ht="12.75" hidden="1" customHeight="1" x14ac:dyDescent="0.2">
      <c r="A80" s="373">
        <f t="shared" si="183"/>
        <v>76</v>
      </c>
      <c r="B80" s="149" t="s">
        <v>1324</v>
      </c>
      <c r="C80" s="150">
        <v>2.02</v>
      </c>
      <c r="D80" s="150">
        <v>1.746</v>
      </c>
      <c r="E80" s="150">
        <v>3.0329999999999999</v>
      </c>
      <c r="F80" s="150">
        <v>1.796</v>
      </c>
      <c r="G80" s="150"/>
      <c r="H80" s="226">
        <f ca="1">OFFSET($HH80,0,'Расчет стоимости'!$M$10,1,1)</f>
        <v>1.22</v>
      </c>
      <c r="I80" s="150">
        <f t="shared" ref="I80" si="197">IF(I$5="II",1.1,IF(OR(I$5="III",I$5="IV"),1.2,1))</f>
        <v>1.2</v>
      </c>
      <c r="J80" s="150">
        <f t="shared" ref="J80" si="198">IF(J$5="II",1.1,IF(OR(J$5="III",J$5="IV"),1.2,1))</f>
        <v>1.2</v>
      </c>
      <c r="K80" s="150">
        <f t="shared" ref="K80:L80" si="199">IF(K$5="II",1.1,IF(OR(K$5="III",K$5="IV"),1.2,1))</f>
        <v>1.2</v>
      </c>
      <c r="L80" s="150">
        <f t="shared" si="199"/>
        <v>1.2</v>
      </c>
      <c r="M80" s="372">
        <v>7.0000000000000007E-2</v>
      </c>
      <c r="N80" s="145">
        <v>6.0999999999999999E-2</v>
      </c>
      <c r="O80" s="145">
        <v>2.7000000000000003E-2</v>
      </c>
      <c r="P80" s="145">
        <v>9.3000000000000013E-2</v>
      </c>
      <c r="Q80" s="145">
        <v>6.0000000000000001E-3</v>
      </c>
      <c r="R80" s="153" t="s">
        <v>243</v>
      </c>
      <c r="S80" s="145" t="s">
        <v>265</v>
      </c>
      <c r="T80" s="225">
        <f t="shared" si="182"/>
        <v>1</v>
      </c>
      <c r="U80" s="225">
        <f t="shared" si="182"/>
        <v>1</v>
      </c>
      <c r="V80" s="225">
        <f t="shared" si="182"/>
        <v>1</v>
      </c>
      <c r="W80" s="225">
        <f t="shared" si="182"/>
        <v>1</v>
      </c>
      <c r="X80" s="145">
        <f t="shared" si="184"/>
        <v>1</v>
      </c>
      <c r="Y80" s="145">
        <v>10.06</v>
      </c>
      <c r="Z80" s="145">
        <f>10.32</f>
        <v>10.32</v>
      </c>
      <c r="AA80" s="145">
        <v>10.32</v>
      </c>
      <c r="AB80" s="145">
        <v>10.36</v>
      </c>
      <c r="AC80" s="145">
        <v>10.58</v>
      </c>
      <c r="AD80" s="41">
        <v>10.54</v>
      </c>
      <c r="AE80" s="41">
        <v>1</v>
      </c>
      <c r="AF80" s="41">
        <v>1</v>
      </c>
      <c r="AG80" s="41">
        <v>1</v>
      </c>
      <c r="AH80" s="41">
        <v>1</v>
      </c>
      <c r="AI80" s="41">
        <v>1</v>
      </c>
      <c r="AJ80" s="41">
        <v>1</v>
      </c>
      <c r="AK80" s="41">
        <v>1</v>
      </c>
      <c r="AL80" s="41">
        <v>1</v>
      </c>
      <c r="AM80" s="41">
        <v>1</v>
      </c>
      <c r="AN80" s="41">
        <v>1</v>
      </c>
      <c r="AO80" s="41">
        <v>1</v>
      </c>
      <c r="AP80" s="41">
        <v>1</v>
      </c>
      <c r="AQ80" s="41">
        <v>1</v>
      </c>
      <c r="AR80" s="41">
        <v>1</v>
      </c>
      <c r="AS80" s="41">
        <v>1</v>
      </c>
      <c r="AT80" s="41">
        <v>1</v>
      </c>
      <c r="AU80" s="41">
        <v>1</v>
      </c>
      <c r="AV80" s="41">
        <v>1</v>
      </c>
      <c r="AW80" s="41">
        <v>1</v>
      </c>
      <c r="AX80" s="41">
        <v>1</v>
      </c>
      <c r="AY80" s="41">
        <v>1</v>
      </c>
      <c r="AZ80" s="41">
        <v>1</v>
      </c>
      <c r="BA80" s="41">
        <v>1</v>
      </c>
      <c r="BB80" s="41">
        <v>1</v>
      </c>
      <c r="BD80" s="145">
        <f t="shared" si="185"/>
        <v>1</v>
      </c>
      <c r="BE80" s="145">
        <v>6.03</v>
      </c>
      <c r="BF80" s="145">
        <f>6.19</f>
        <v>6.19</v>
      </c>
      <c r="BG80" s="145">
        <v>6.19</v>
      </c>
      <c r="BH80" s="145">
        <v>6.21</v>
      </c>
      <c r="BI80" s="145">
        <v>6.34</v>
      </c>
      <c r="BJ80" s="41">
        <v>6.31</v>
      </c>
      <c r="BK80" s="41">
        <v>1</v>
      </c>
      <c r="BL80" s="41">
        <v>1</v>
      </c>
      <c r="BM80" s="41">
        <v>1</v>
      </c>
      <c r="BN80" s="41">
        <v>1</v>
      </c>
      <c r="BO80" s="41">
        <v>1</v>
      </c>
      <c r="BP80" s="41">
        <v>1</v>
      </c>
      <c r="BQ80" s="41">
        <v>1</v>
      </c>
      <c r="BR80" s="41">
        <v>1</v>
      </c>
      <c r="BS80" s="41">
        <v>1</v>
      </c>
      <c r="BT80" s="41">
        <v>1</v>
      </c>
      <c r="BU80" s="41">
        <v>1</v>
      </c>
      <c r="BV80" s="41">
        <v>1</v>
      </c>
      <c r="BW80" s="41">
        <v>1</v>
      </c>
      <c r="BX80" s="41">
        <v>1</v>
      </c>
      <c r="BY80" s="41">
        <v>1</v>
      </c>
      <c r="BZ80" s="41">
        <v>1</v>
      </c>
      <c r="CA80" s="41">
        <v>1</v>
      </c>
      <c r="CB80" s="41">
        <v>1</v>
      </c>
      <c r="CC80" s="41">
        <v>1</v>
      </c>
      <c r="CD80" s="41">
        <v>1</v>
      </c>
      <c r="CE80" s="41">
        <v>1</v>
      </c>
      <c r="CF80" s="41">
        <v>1</v>
      </c>
      <c r="CG80" s="41">
        <v>1</v>
      </c>
      <c r="CH80" s="41">
        <v>1</v>
      </c>
      <c r="CJ80" s="145">
        <f t="shared" si="186"/>
        <v>1</v>
      </c>
      <c r="CK80" s="145">
        <v>6.6</v>
      </c>
      <c r="CL80" s="145">
        <v>6.77</v>
      </c>
      <c r="CM80" s="145">
        <v>6.77</v>
      </c>
      <c r="CN80" s="145">
        <v>6.8</v>
      </c>
      <c r="CO80" s="145">
        <v>6.94</v>
      </c>
      <c r="CP80" s="41">
        <v>6.91</v>
      </c>
      <c r="CQ80" s="41">
        <v>1</v>
      </c>
      <c r="CR80" s="41">
        <v>1</v>
      </c>
      <c r="CS80" s="41">
        <v>1</v>
      </c>
      <c r="CT80" s="41">
        <v>1</v>
      </c>
      <c r="CU80" s="41">
        <v>1</v>
      </c>
      <c r="CV80" s="41">
        <v>1</v>
      </c>
      <c r="CW80" s="41">
        <v>1</v>
      </c>
      <c r="CX80" s="41">
        <v>1</v>
      </c>
      <c r="CY80" s="41">
        <v>1</v>
      </c>
      <c r="CZ80" s="41">
        <v>1</v>
      </c>
      <c r="DA80" s="41">
        <v>1</v>
      </c>
      <c r="DB80" s="41">
        <v>1</v>
      </c>
      <c r="DC80" s="41">
        <v>1</v>
      </c>
      <c r="DD80" s="41">
        <v>1</v>
      </c>
      <c r="DE80" s="41">
        <v>1</v>
      </c>
      <c r="DF80" s="41">
        <v>1</v>
      </c>
      <c r="DG80" s="41">
        <v>1</v>
      </c>
      <c r="DH80" s="41">
        <v>1</v>
      </c>
      <c r="DI80" s="41">
        <v>1</v>
      </c>
      <c r="DJ80" s="41">
        <v>1</v>
      </c>
      <c r="DK80" s="41">
        <v>1</v>
      </c>
      <c r="DL80" s="41">
        <v>1</v>
      </c>
      <c r="DM80" s="41">
        <v>1</v>
      </c>
      <c r="DN80" s="41">
        <v>1</v>
      </c>
      <c r="DP80" s="145">
        <f t="shared" si="187"/>
        <v>1</v>
      </c>
      <c r="DQ80" s="145">
        <v>7.15</v>
      </c>
      <c r="DR80" s="145">
        <v>7.33</v>
      </c>
      <c r="DS80" s="145">
        <v>7.33</v>
      </c>
      <c r="DT80" s="145">
        <v>7.36</v>
      </c>
      <c r="DU80" s="145">
        <v>7.51</v>
      </c>
      <c r="DV80" s="41">
        <v>7.48</v>
      </c>
      <c r="DW80" s="41">
        <v>1</v>
      </c>
      <c r="DX80" s="41">
        <v>1</v>
      </c>
      <c r="DY80" s="41">
        <v>1</v>
      </c>
      <c r="DZ80" s="41">
        <v>1</v>
      </c>
      <c r="EA80" s="41">
        <v>1</v>
      </c>
      <c r="EB80" s="41">
        <v>1</v>
      </c>
      <c r="EC80" s="41">
        <v>1</v>
      </c>
      <c r="ED80" s="41">
        <v>1</v>
      </c>
      <c r="EE80" s="41">
        <v>1</v>
      </c>
      <c r="EF80" s="41">
        <v>1</v>
      </c>
      <c r="EG80" s="41">
        <v>1</v>
      </c>
      <c r="EH80" s="41">
        <v>1</v>
      </c>
      <c r="EI80" s="41">
        <v>1</v>
      </c>
      <c r="EJ80" s="41">
        <v>1</v>
      </c>
      <c r="EK80" s="41">
        <v>1</v>
      </c>
      <c r="EL80" s="41">
        <v>1</v>
      </c>
      <c r="EM80" s="41">
        <v>1</v>
      </c>
      <c r="EN80" s="41">
        <v>1</v>
      </c>
      <c r="EO80" s="41">
        <v>1</v>
      </c>
      <c r="EP80" s="41">
        <v>1</v>
      </c>
      <c r="EQ80" s="41">
        <v>1</v>
      </c>
      <c r="ER80" s="41">
        <v>1</v>
      </c>
      <c r="ES80" s="41">
        <v>1</v>
      </c>
      <c r="ET80" s="41">
        <v>1</v>
      </c>
      <c r="EV80" s="145">
        <f t="shared" si="188"/>
        <v>1</v>
      </c>
      <c r="EW80" s="145">
        <v>7.39</v>
      </c>
      <c r="EX80" s="145">
        <f>7.58</f>
        <v>7.58</v>
      </c>
      <c r="EY80" s="145">
        <v>7.58</v>
      </c>
      <c r="EZ80" s="145">
        <v>7.61</v>
      </c>
      <c r="FA80" s="145">
        <v>7.77</v>
      </c>
      <c r="FB80" s="41">
        <v>7.74</v>
      </c>
      <c r="FC80" s="41">
        <v>1</v>
      </c>
      <c r="FD80" s="41">
        <v>1</v>
      </c>
      <c r="FE80" s="41">
        <v>1</v>
      </c>
      <c r="FF80" s="41">
        <v>1</v>
      </c>
      <c r="FG80" s="41">
        <v>1</v>
      </c>
      <c r="FH80" s="41">
        <v>1</v>
      </c>
      <c r="FI80" s="41">
        <v>1</v>
      </c>
      <c r="FJ80" s="41">
        <v>1</v>
      </c>
      <c r="FK80" s="41">
        <v>1</v>
      </c>
      <c r="FL80" s="41">
        <v>1</v>
      </c>
      <c r="FM80" s="41">
        <v>1</v>
      </c>
      <c r="FN80" s="41">
        <v>1</v>
      </c>
      <c r="FO80" s="41">
        <v>1</v>
      </c>
      <c r="FP80" s="41">
        <v>1</v>
      </c>
      <c r="FQ80" s="41">
        <v>1</v>
      </c>
      <c r="FR80" s="41">
        <v>1</v>
      </c>
      <c r="FS80" s="41">
        <v>1</v>
      </c>
      <c r="FT80" s="41">
        <v>1</v>
      </c>
      <c r="FU80" s="41">
        <v>1</v>
      </c>
      <c r="FV80" s="41">
        <v>1</v>
      </c>
      <c r="FW80" s="41">
        <v>1</v>
      </c>
      <c r="FX80" s="41">
        <v>1</v>
      </c>
      <c r="FY80" s="41">
        <v>1</v>
      </c>
      <c r="FZ80" s="41">
        <v>1</v>
      </c>
      <c r="GB80" s="145">
        <f t="shared" si="189"/>
        <v>1</v>
      </c>
      <c r="GC80" s="145">
        <v>19.850000000000001</v>
      </c>
      <c r="GD80" s="145">
        <f>20.37</f>
        <v>20.37</v>
      </c>
      <c r="GE80" s="145">
        <v>20.37</v>
      </c>
      <c r="GF80" s="145">
        <v>20.45</v>
      </c>
      <c r="GG80" s="145">
        <v>20.88</v>
      </c>
      <c r="GH80" s="41">
        <v>20.8</v>
      </c>
      <c r="GI80" s="41">
        <v>1</v>
      </c>
      <c r="GJ80" s="41">
        <v>1</v>
      </c>
      <c r="GK80" s="41">
        <v>1</v>
      </c>
      <c r="GL80" s="41">
        <v>1</v>
      </c>
      <c r="GM80" s="41">
        <v>1</v>
      </c>
      <c r="GN80" s="41">
        <v>1</v>
      </c>
      <c r="GO80" s="41">
        <v>1</v>
      </c>
      <c r="GP80" s="41">
        <v>1</v>
      </c>
      <c r="GQ80" s="41">
        <v>1</v>
      </c>
      <c r="GR80" s="41">
        <v>1</v>
      </c>
      <c r="GS80" s="41">
        <v>1</v>
      </c>
      <c r="GT80" s="41">
        <v>1</v>
      </c>
      <c r="GU80" s="41">
        <v>1</v>
      </c>
      <c r="GV80" s="41">
        <v>1</v>
      </c>
      <c r="GW80" s="41">
        <v>1</v>
      </c>
      <c r="GX80" s="41">
        <v>1</v>
      </c>
      <c r="GY80" s="41">
        <v>1</v>
      </c>
      <c r="GZ80" s="41">
        <v>1</v>
      </c>
      <c r="HA80" s="41">
        <v>1</v>
      </c>
      <c r="HB80" s="41">
        <v>1</v>
      </c>
      <c r="HC80" s="41">
        <v>1</v>
      </c>
      <c r="HD80" s="41">
        <v>1</v>
      </c>
      <c r="HE80" s="41">
        <v>1</v>
      </c>
      <c r="HF80" s="41">
        <v>1</v>
      </c>
      <c r="HH80" s="373">
        <v>3</v>
      </c>
      <c r="HI80" s="218">
        <v>1.0900000000000001</v>
      </c>
      <c r="HJ80" s="41">
        <v>1.1299999999999999</v>
      </c>
      <c r="HK80" s="41">
        <v>1.22</v>
      </c>
      <c r="HM80" s="373">
        <f t="shared" si="190"/>
        <v>3</v>
      </c>
      <c r="HN80" s="145">
        <v>1</v>
      </c>
      <c r="HO80" s="145">
        <v>0.97209999999999996</v>
      </c>
      <c r="HP80" s="145">
        <v>1.2695000000000001</v>
      </c>
    </row>
    <row r="81" spans="1:235" ht="12.75" hidden="1" customHeight="1" x14ac:dyDescent="0.2">
      <c r="A81" s="373">
        <f>A80+1</f>
        <v>77</v>
      </c>
      <c r="B81" s="149" t="s">
        <v>170</v>
      </c>
      <c r="C81" s="150">
        <v>1.1559999999999999</v>
      </c>
      <c r="D81" s="150">
        <v>1.149</v>
      </c>
      <c r="E81" s="150">
        <v>1.214</v>
      </c>
      <c r="F81" s="150">
        <v>1.032</v>
      </c>
      <c r="G81" s="150"/>
      <c r="H81" s="226">
        <f ca="1">OFFSET($HH81,0,'Расчет стоимости'!$M$10,1,1)</f>
        <v>1.0900000000000001</v>
      </c>
      <c r="I81" s="150">
        <v>1</v>
      </c>
      <c r="J81" s="150">
        <v>1</v>
      </c>
      <c r="K81" s="149">
        <v>1</v>
      </c>
      <c r="L81" s="149">
        <v>1</v>
      </c>
      <c r="M81" s="372">
        <v>4.2999999999999997E-2</v>
      </c>
      <c r="N81" s="145">
        <v>3.7000000000000005E-2</v>
      </c>
      <c r="O81" s="145">
        <v>1.7000000000000001E-2</v>
      </c>
      <c r="P81" s="145">
        <v>5.5E-2</v>
      </c>
      <c r="Q81" s="145">
        <v>4.0000000000000001E-3</v>
      </c>
      <c r="R81" s="152" t="s">
        <v>242</v>
      </c>
      <c r="S81" s="145" t="s">
        <v>266</v>
      </c>
      <c r="T81" s="225">
        <f t="shared" si="182"/>
        <v>1</v>
      </c>
      <c r="U81" s="225">
        <f t="shared" si="182"/>
        <v>1</v>
      </c>
      <c r="V81" s="225">
        <f t="shared" si="182"/>
        <v>1</v>
      </c>
      <c r="W81" s="225">
        <f t="shared" si="182"/>
        <v>1</v>
      </c>
      <c r="X81" s="145">
        <f t="shared" si="184"/>
        <v>1</v>
      </c>
      <c r="Y81" s="145">
        <v>6.3</v>
      </c>
      <c r="Z81" s="145">
        <f>6.46</f>
        <v>6.46</v>
      </c>
      <c r="AA81" s="145">
        <v>6.46</v>
      </c>
      <c r="AB81" s="145">
        <v>6.49</v>
      </c>
      <c r="AC81" s="145">
        <v>6.63</v>
      </c>
      <c r="AD81" s="41">
        <v>6.6</v>
      </c>
      <c r="AE81" s="41">
        <v>1</v>
      </c>
      <c r="AF81" s="41">
        <v>1</v>
      </c>
      <c r="AG81" s="41">
        <v>1</v>
      </c>
      <c r="AH81" s="41">
        <v>1</v>
      </c>
      <c r="AI81" s="41">
        <v>1</v>
      </c>
      <c r="AJ81" s="41">
        <v>1</v>
      </c>
      <c r="AK81" s="41">
        <v>1</v>
      </c>
      <c r="AL81" s="41">
        <v>1</v>
      </c>
      <c r="AM81" s="41">
        <v>1</v>
      </c>
      <c r="AN81" s="41">
        <v>1</v>
      </c>
      <c r="AO81" s="41">
        <v>1</v>
      </c>
      <c r="AP81" s="41">
        <v>1</v>
      </c>
      <c r="AQ81" s="41">
        <v>1</v>
      </c>
      <c r="AR81" s="41">
        <v>1</v>
      </c>
      <c r="AS81" s="41">
        <v>1</v>
      </c>
      <c r="AT81" s="41">
        <v>1</v>
      </c>
      <c r="AU81" s="41">
        <v>1</v>
      </c>
      <c r="AV81" s="41">
        <v>1</v>
      </c>
      <c r="AW81" s="41">
        <v>1</v>
      </c>
      <c r="AX81" s="41">
        <v>1</v>
      </c>
      <c r="AY81" s="41">
        <v>1</v>
      </c>
      <c r="AZ81" s="41">
        <v>1</v>
      </c>
      <c r="BA81" s="41">
        <v>1</v>
      </c>
      <c r="BB81" s="41">
        <v>1</v>
      </c>
      <c r="BD81" s="145">
        <f t="shared" si="185"/>
        <v>1</v>
      </c>
      <c r="BE81" s="145">
        <v>3.92</v>
      </c>
      <c r="BF81" s="145">
        <v>4.0199999999999996</v>
      </c>
      <c r="BG81" s="145">
        <v>4.0199999999999996</v>
      </c>
      <c r="BH81" s="145">
        <v>4.04</v>
      </c>
      <c r="BI81" s="145">
        <v>4.12</v>
      </c>
      <c r="BJ81" s="41">
        <v>4.0999999999999996</v>
      </c>
      <c r="BK81" s="41">
        <v>1</v>
      </c>
      <c r="BL81" s="41">
        <v>1</v>
      </c>
      <c r="BM81" s="41">
        <v>1</v>
      </c>
      <c r="BN81" s="41">
        <v>1</v>
      </c>
      <c r="BO81" s="41">
        <v>1</v>
      </c>
      <c r="BP81" s="41">
        <v>1</v>
      </c>
      <c r="BQ81" s="41">
        <v>1</v>
      </c>
      <c r="BR81" s="41">
        <v>1</v>
      </c>
      <c r="BS81" s="41">
        <v>1</v>
      </c>
      <c r="BT81" s="41">
        <v>1</v>
      </c>
      <c r="BU81" s="41">
        <v>1</v>
      </c>
      <c r="BV81" s="41">
        <v>1</v>
      </c>
      <c r="BW81" s="41">
        <v>1</v>
      </c>
      <c r="BX81" s="41">
        <v>1</v>
      </c>
      <c r="BY81" s="41">
        <v>1</v>
      </c>
      <c r="BZ81" s="41">
        <v>1</v>
      </c>
      <c r="CA81" s="41">
        <v>1</v>
      </c>
      <c r="CB81" s="41">
        <v>1</v>
      </c>
      <c r="CC81" s="41">
        <v>1</v>
      </c>
      <c r="CD81" s="41">
        <v>1</v>
      </c>
      <c r="CE81" s="41">
        <v>1</v>
      </c>
      <c r="CF81" s="41">
        <v>1</v>
      </c>
      <c r="CG81" s="41">
        <v>1</v>
      </c>
      <c r="CH81" s="41">
        <v>1</v>
      </c>
      <c r="CJ81" s="145">
        <f t="shared" si="186"/>
        <v>1</v>
      </c>
      <c r="CK81" s="145">
        <v>4.78</v>
      </c>
      <c r="CL81" s="145">
        <v>4.91</v>
      </c>
      <c r="CM81" s="145">
        <v>4.91</v>
      </c>
      <c r="CN81" s="145">
        <v>4.93</v>
      </c>
      <c r="CO81" s="145">
        <v>5.0199999999999996</v>
      </c>
      <c r="CP81" s="41">
        <v>4.8099999999999996</v>
      </c>
      <c r="CQ81" s="41">
        <v>1</v>
      </c>
      <c r="CR81" s="41">
        <v>1</v>
      </c>
      <c r="CS81" s="41">
        <v>1</v>
      </c>
      <c r="CT81" s="41">
        <v>1</v>
      </c>
      <c r="CU81" s="41">
        <v>1</v>
      </c>
      <c r="CV81" s="41">
        <v>1</v>
      </c>
      <c r="CW81" s="41">
        <v>1</v>
      </c>
      <c r="CX81" s="41">
        <v>1</v>
      </c>
      <c r="CY81" s="41">
        <v>1</v>
      </c>
      <c r="CZ81" s="41">
        <v>1</v>
      </c>
      <c r="DA81" s="41">
        <v>1</v>
      </c>
      <c r="DB81" s="41">
        <v>1</v>
      </c>
      <c r="DC81" s="41">
        <v>1</v>
      </c>
      <c r="DD81" s="41">
        <v>1</v>
      </c>
      <c r="DE81" s="41">
        <v>1</v>
      </c>
      <c r="DF81" s="41">
        <v>1</v>
      </c>
      <c r="DG81" s="41">
        <v>1</v>
      </c>
      <c r="DH81" s="41">
        <v>1</v>
      </c>
      <c r="DI81" s="41">
        <v>1</v>
      </c>
      <c r="DJ81" s="41">
        <v>1</v>
      </c>
      <c r="DK81" s="41">
        <v>1</v>
      </c>
      <c r="DL81" s="41">
        <v>1</v>
      </c>
      <c r="DM81" s="41">
        <v>1</v>
      </c>
      <c r="DN81" s="41">
        <v>1</v>
      </c>
      <c r="DP81" s="145">
        <f t="shared" si="187"/>
        <v>1</v>
      </c>
      <c r="DQ81" s="145">
        <v>4.63</v>
      </c>
      <c r="DR81" s="145">
        <v>4.76</v>
      </c>
      <c r="DS81" s="145">
        <v>4.76</v>
      </c>
      <c r="DT81" s="145">
        <v>4.78</v>
      </c>
      <c r="DU81" s="145">
        <v>4.88</v>
      </c>
      <c r="DV81" s="41">
        <v>4.8600000000000003</v>
      </c>
      <c r="DW81" s="41">
        <v>1</v>
      </c>
      <c r="DX81" s="41">
        <v>1</v>
      </c>
      <c r="DY81" s="41">
        <v>1</v>
      </c>
      <c r="DZ81" s="41">
        <v>1</v>
      </c>
      <c r="EA81" s="41">
        <v>1</v>
      </c>
      <c r="EB81" s="41">
        <v>1</v>
      </c>
      <c r="EC81" s="41">
        <v>1</v>
      </c>
      <c r="ED81" s="41">
        <v>1</v>
      </c>
      <c r="EE81" s="41">
        <v>1</v>
      </c>
      <c r="EF81" s="41">
        <v>1</v>
      </c>
      <c r="EG81" s="41">
        <v>1</v>
      </c>
      <c r="EH81" s="41">
        <v>1</v>
      </c>
      <c r="EI81" s="41">
        <v>1</v>
      </c>
      <c r="EJ81" s="41">
        <v>1</v>
      </c>
      <c r="EK81" s="41">
        <v>1</v>
      </c>
      <c r="EL81" s="41">
        <v>1</v>
      </c>
      <c r="EM81" s="41">
        <v>1</v>
      </c>
      <c r="EN81" s="41">
        <v>1</v>
      </c>
      <c r="EO81" s="41">
        <v>1</v>
      </c>
      <c r="EP81" s="41">
        <v>1</v>
      </c>
      <c r="EQ81" s="41">
        <v>1</v>
      </c>
      <c r="ER81" s="41">
        <v>1</v>
      </c>
      <c r="ES81" s="41">
        <v>1</v>
      </c>
      <c r="ET81" s="41">
        <v>1</v>
      </c>
      <c r="EV81" s="145">
        <f t="shared" si="188"/>
        <v>1</v>
      </c>
      <c r="EW81" s="145">
        <v>5.26</v>
      </c>
      <c r="EX81" s="145">
        <f>5.39</f>
        <v>5.39</v>
      </c>
      <c r="EY81" s="145">
        <v>5.39</v>
      </c>
      <c r="EZ81" s="145">
        <v>5.41</v>
      </c>
      <c r="FA81" s="145">
        <v>5.52</v>
      </c>
      <c r="FB81" s="41">
        <v>5.5</v>
      </c>
      <c r="FC81" s="41">
        <v>1</v>
      </c>
      <c r="FD81" s="41">
        <v>1</v>
      </c>
      <c r="FE81" s="41">
        <v>1</v>
      </c>
      <c r="FF81" s="41">
        <v>1</v>
      </c>
      <c r="FG81" s="41">
        <v>1</v>
      </c>
      <c r="FH81" s="41">
        <v>1</v>
      </c>
      <c r="FI81" s="41">
        <v>1</v>
      </c>
      <c r="FJ81" s="41">
        <v>1</v>
      </c>
      <c r="FK81" s="41">
        <v>1</v>
      </c>
      <c r="FL81" s="41">
        <v>1</v>
      </c>
      <c r="FM81" s="41">
        <v>1</v>
      </c>
      <c r="FN81" s="41">
        <v>1</v>
      </c>
      <c r="FO81" s="41">
        <v>1</v>
      </c>
      <c r="FP81" s="41">
        <v>1</v>
      </c>
      <c r="FQ81" s="41">
        <v>1</v>
      </c>
      <c r="FR81" s="41">
        <v>1</v>
      </c>
      <c r="FS81" s="41">
        <v>1</v>
      </c>
      <c r="FT81" s="41">
        <v>1</v>
      </c>
      <c r="FU81" s="41">
        <v>1</v>
      </c>
      <c r="FV81" s="41">
        <v>1</v>
      </c>
      <c r="FW81" s="41">
        <v>1</v>
      </c>
      <c r="FX81" s="41">
        <v>1</v>
      </c>
      <c r="FY81" s="41">
        <v>1</v>
      </c>
      <c r="FZ81" s="41">
        <v>1</v>
      </c>
      <c r="GB81" s="145">
        <f t="shared" si="189"/>
        <v>1</v>
      </c>
      <c r="GC81" s="145">
        <v>11.86</v>
      </c>
      <c r="GD81" s="145">
        <v>12.17</v>
      </c>
      <c r="GE81" s="145">
        <v>12.17</v>
      </c>
      <c r="GF81" s="145">
        <v>12.22</v>
      </c>
      <c r="GG81" s="145">
        <v>12.48</v>
      </c>
      <c r="GH81" s="41">
        <v>12.43</v>
      </c>
      <c r="GI81" s="41">
        <v>1</v>
      </c>
      <c r="GJ81" s="41">
        <v>1</v>
      </c>
      <c r="GK81" s="41">
        <v>1</v>
      </c>
      <c r="GL81" s="41">
        <v>1</v>
      </c>
      <c r="GM81" s="41">
        <v>1</v>
      </c>
      <c r="GN81" s="41">
        <v>1</v>
      </c>
      <c r="GO81" s="41">
        <v>1</v>
      </c>
      <c r="GP81" s="41">
        <v>1</v>
      </c>
      <c r="GQ81" s="41">
        <v>1</v>
      </c>
      <c r="GR81" s="41">
        <v>1</v>
      </c>
      <c r="GS81" s="41">
        <v>1</v>
      </c>
      <c r="GT81" s="41">
        <v>1</v>
      </c>
      <c r="GU81" s="41">
        <v>1</v>
      </c>
      <c r="GV81" s="41">
        <v>1</v>
      </c>
      <c r="GW81" s="41">
        <v>1</v>
      </c>
      <c r="GX81" s="41">
        <v>1</v>
      </c>
      <c r="GY81" s="41">
        <v>1</v>
      </c>
      <c r="GZ81" s="41">
        <v>1</v>
      </c>
      <c r="HA81" s="41">
        <v>1</v>
      </c>
      <c r="HB81" s="41">
        <v>1</v>
      </c>
      <c r="HC81" s="41">
        <v>1</v>
      </c>
      <c r="HD81" s="41">
        <v>1</v>
      </c>
      <c r="HE81" s="41">
        <v>1</v>
      </c>
      <c r="HF81" s="41">
        <v>1</v>
      </c>
      <c r="HH81" s="373">
        <v>1</v>
      </c>
      <c r="HI81" s="218">
        <v>1.0900000000000001</v>
      </c>
      <c r="HJ81" s="229">
        <v>1.0900000000000001</v>
      </c>
      <c r="HK81" s="229">
        <v>1.0900000000000001</v>
      </c>
      <c r="HM81" s="373">
        <f t="shared" si="190"/>
        <v>1</v>
      </c>
      <c r="HN81" s="145">
        <v>1</v>
      </c>
    </row>
    <row r="82" spans="1:235" ht="12.75" hidden="1" customHeight="1" x14ac:dyDescent="0.2">
      <c r="A82" s="373">
        <f t="shared" si="183"/>
        <v>78</v>
      </c>
      <c r="B82" s="149" t="s">
        <v>1325</v>
      </c>
      <c r="C82" s="150">
        <v>1.397</v>
      </c>
      <c r="D82" s="150">
        <v>1.4319999999999999</v>
      </c>
      <c r="E82" s="150">
        <v>1.325</v>
      </c>
      <c r="F82" s="150">
        <v>1.234</v>
      </c>
      <c r="G82" s="150"/>
      <c r="H82" s="226">
        <f ca="1">OFFSET($HH82,0,'Расчет стоимости'!$M$10,1,1)</f>
        <v>1.1299999999999999</v>
      </c>
      <c r="I82" s="150">
        <f t="shared" ref="I82" si="200">IF(OR(I$5="XII",I$5="XIII",I$5="XIV",I$5="XV"),1.6,1)</f>
        <v>1</v>
      </c>
      <c r="J82" s="150">
        <f t="shared" ref="J82" si="201">IF(OR(J$5="XII",J$5="XIII",J$5="XIV",J$5="XV"),1.6,1)</f>
        <v>1</v>
      </c>
      <c r="K82" s="150">
        <f t="shared" ref="K82:L82" si="202">IF(OR(K$5="XII",K$5="XIII",K$5="XIV",K$5="XV"),1.6,1)</f>
        <v>1</v>
      </c>
      <c r="L82" s="150">
        <f t="shared" si="202"/>
        <v>1</v>
      </c>
      <c r="M82" s="372">
        <v>4.2999999999999997E-2</v>
      </c>
      <c r="N82" s="145">
        <v>3.7000000000000005E-2</v>
      </c>
      <c r="O82" s="145">
        <v>1.7000000000000001E-2</v>
      </c>
      <c r="P82" s="145">
        <v>5.5E-2</v>
      </c>
      <c r="Q82" s="145">
        <v>4.0000000000000001E-3</v>
      </c>
      <c r="R82" s="152" t="s">
        <v>242</v>
      </c>
      <c r="S82" s="145" t="s">
        <v>266</v>
      </c>
      <c r="T82" s="225">
        <f t="shared" si="182"/>
        <v>1.101</v>
      </c>
      <c r="U82" s="225">
        <f t="shared" si="182"/>
        <v>1.101</v>
      </c>
      <c r="V82" s="225">
        <f t="shared" si="182"/>
        <v>1.101</v>
      </c>
      <c r="W82" s="225">
        <f t="shared" si="182"/>
        <v>1.101</v>
      </c>
      <c r="X82" s="145">
        <f t="shared" si="184"/>
        <v>1</v>
      </c>
      <c r="Y82" s="145">
        <v>6.95</v>
      </c>
      <c r="Z82" s="145">
        <f>7.01</f>
        <v>7.01</v>
      </c>
      <c r="AA82" s="145">
        <v>7.01</v>
      </c>
      <c r="AB82" s="145">
        <v>7.04</v>
      </c>
      <c r="AC82" s="145">
        <v>7.16</v>
      </c>
      <c r="AD82" s="41">
        <v>7.13</v>
      </c>
      <c r="AE82" s="41">
        <v>1</v>
      </c>
      <c r="AF82" s="41">
        <v>1</v>
      </c>
      <c r="AG82" s="41">
        <v>1</v>
      </c>
      <c r="AH82" s="41">
        <v>1</v>
      </c>
      <c r="AI82" s="41">
        <v>1</v>
      </c>
      <c r="AJ82" s="41">
        <v>1</v>
      </c>
      <c r="AK82" s="41">
        <v>1</v>
      </c>
      <c r="AL82" s="41">
        <v>1</v>
      </c>
      <c r="AM82" s="41">
        <v>1</v>
      </c>
      <c r="AN82" s="41">
        <v>1</v>
      </c>
      <c r="AO82" s="41">
        <v>1</v>
      </c>
      <c r="AP82" s="41">
        <v>1</v>
      </c>
      <c r="AQ82" s="41">
        <v>1</v>
      </c>
      <c r="AR82" s="41">
        <v>1</v>
      </c>
      <c r="AS82" s="41">
        <v>1</v>
      </c>
      <c r="AT82" s="41">
        <v>1</v>
      </c>
      <c r="AU82" s="41">
        <v>1</v>
      </c>
      <c r="AV82" s="41">
        <v>1</v>
      </c>
      <c r="AW82" s="41">
        <v>1</v>
      </c>
      <c r="AX82" s="41">
        <v>1</v>
      </c>
      <c r="AY82" s="41">
        <v>1</v>
      </c>
      <c r="AZ82" s="41">
        <v>1</v>
      </c>
      <c r="BA82" s="41">
        <v>1</v>
      </c>
      <c r="BB82" s="41">
        <v>1</v>
      </c>
      <c r="BD82" s="145">
        <f t="shared" si="185"/>
        <v>1</v>
      </c>
      <c r="BE82" s="145">
        <v>3.92</v>
      </c>
      <c r="BF82" s="145">
        <v>3.98</v>
      </c>
      <c r="BG82" s="145">
        <v>3.98</v>
      </c>
      <c r="BH82" s="145">
        <v>4</v>
      </c>
      <c r="BI82" s="145">
        <v>4.08</v>
      </c>
      <c r="BJ82" s="41">
        <v>4.0599999999999996</v>
      </c>
      <c r="BK82" s="41">
        <v>1</v>
      </c>
      <c r="BL82" s="41">
        <v>1</v>
      </c>
      <c r="BM82" s="41">
        <v>1</v>
      </c>
      <c r="BN82" s="41">
        <v>1</v>
      </c>
      <c r="BO82" s="41">
        <v>1</v>
      </c>
      <c r="BP82" s="41">
        <v>1</v>
      </c>
      <c r="BQ82" s="41">
        <v>1</v>
      </c>
      <c r="BR82" s="41">
        <v>1</v>
      </c>
      <c r="BS82" s="41">
        <v>1</v>
      </c>
      <c r="BT82" s="41">
        <v>1</v>
      </c>
      <c r="BU82" s="41">
        <v>1</v>
      </c>
      <c r="BV82" s="41">
        <v>1</v>
      </c>
      <c r="BW82" s="41">
        <v>1</v>
      </c>
      <c r="BX82" s="41">
        <v>1</v>
      </c>
      <c r="BY82" s="41">
        <v>1</v>
      </c>
      <c r="BZ82" s="41">
        <v>1</v>
      </c>
      <c r="CA82" s="41">
        <v>1</v>
      </c>
      <c r="CB82" s="41">
        <v>1</v>
      </c>
      <c r="CC82" s="41">
        <v>1</v>
      </c>
      <c r="CD82" s="41">
        <v>1</v>
      </c>
      <c r="CE82" s="41">
        <v>1</v>
      </c>
      <c r="CF82" s="41">
        <v>1</v>
      </c>
      <c r="CG82" s="41">
        <v>1</v>
      </c>
      <c r="CH82" s="41">
        <v>1</v>
      </c>
      <c r="CJ82" s="145">
        <f t="shared" si="186"/>
        <v>1</v>
      </c>
      <c r="CK82" s="145">
        <v>4.5599999999999996</v>
      </c>
      <c r="CL82" s="145">
        <v>4.58</v>
      </c>
      <c r="CM82" s="145">
        <v>4.58</v>
      </c>
      <c r="CN82" s="145">
        <v>4.5999999999999996</v>
      </c>
      <c r="CO82" s="145">
        <v>4.6399999999999997</v>
      </c>
      <c r="CP82" s="41">
        <v>4.62</v>
      </c>
      <c r="CQ82" s="41">
        <v>1</v>
      </c>
      <c r="CR82" s="41">
        <v>1</v>
      </c>
      <c r="CS82" s="41">
        <v>1</v>
      </c>
      <c r="CT82" s="41">
        <v>1</v>
      </c>
      <c r="CU82" s="41">
        <v>1</v>
      </c>
      <c r="CV82" s="41">
        <v>1</v>
      </c>
      <c r="CW82" s="41">
        <v>1</v>
      </c>
      <c r="CX82" s="41">
        <v>1</v>
      </c>
      <c r="CY82" s="41">
        <v>1</v>
      </c>
      <c r="CZ82" s="41">
        <v>1</v>
      </c>
      <c r="DA82" s="41">
        <v>1</v>
      </c>
      <c r="DB82" s="41">
        <v>1</v>
      </c>
      <c r="DC82" s="41">
        <v>1</v>
      </c>
      <c r="DD82" s="41">
        <v>1</v>
      </c>
      <c r="DE82" s="41">
        <v>1</v>
      </c>
      <c r="DF82" s="41">
        <v>1</v>
      </c>
      <c r="DG82" s="41">
        <v>1</v>
      </c>
      <c r="DH82" s="41">
        <v>1</v>
      </c>
      <c r="DI82" s="41">
        <v>1</v>
      </c>
      <c r="DJ82" s="41">
        <v>1</v>
      </c>
      <c r="DK82" s="41">
        <v>1</v>
      </c>
      <c r="DL82" s="41">
        <v>1</v>
      </c>
      <c r="DM82" s="41">
        <v>1</v>
      </c>
      <c r="DN82" s="41">
        <v>1</v>
      </c>
      <c r="DP82" s="145">
        <f t="shared" si="187"/>
        <v>1</v>
      </c>
      <c r="DQ82" s="145">
        <v>5.27</v>
      </c>
      <c r="DR82" s="145">
        <v>5.4</v>
      </c>
      <c r="DS82" s="145">
        <v>5.4</v>
      </c>
      <c r="DT82" s="145">
        <v>5.42</v>
      </c>
      <c r="DU82" s="145">
        <v>5.53</v>
      </c>
      <c r="DV82" s="41">
        <v>5.51</v>
      </c>
      <c r="DW82" s="41">
        <v>1</v>
      </c>
      <c r="DX82" s="41">
        <v>1</v>
      </c>
      <c r="DY82" s="41">
        <v>1</v>
      </c>
      <c r="DZ82" s="41">
        <v>1</v>
      </c>
      <c r="EA82" s="41">
        <v>1</v>
      </c>
      <c r="EB82" s="41">
        <v>1</v>
      </c>
      <c r="EC82" s="41">
        <v>1</v>
      </c>
      <c r="ED82" s="41">
        <v>1</v>
      </c>
      <c r="EE82" s="41">
        <v>1</v>
      </c>
      <c r="EF82" s="41">
        <v>1</v>
      </c>
      <c r="EG82" s="41">
        <v>1</v>
      </c>
      <c r="EH82" s="41">
        <v>1</v>
      </c>
      <c r="EI82" s="41">
        <v>1</v>
      </c>
      <c r="EJ82" s="41">
        <v>1</v>
      </c>
      <c r="EK82" s="41">
        <v>1</v>
      </c>
      <c r="EL82" s="41">
        <v>1</v>
      </c>
      <c r="EM82" s="41">
        <v>1</v>
      </c>
      <c r="EN82" s="41">
        <v>1</v>
      </c>
      <c r="EO82" s="41">
        <v>1</v>
      </c>
      <c r="EP82" s="41">
        <v>1</v>
      </c>
      <c r="EQ82" s="41">
        <v>1</v>
      </c>
      <c r="ER82" s="41">
        <v>1</v>
      </c>
      <c r="ES82" s="41">
        <v>1</v>
      </c>
      <c r="ET82" s="41">
        <v>1</v>
      </c>
      <c r="EV82" s="145">
        <f t="shared" si="188"/>
        <v>1</v>
      </c>
      <c r="EW82" s="145">
        <v>5.33</v>
      </c>
      <c r="EX82" s="145">
        <f>5.37</f>
        <v>5.37</v>
      </c>
      <c r="EY82" s="145">
        <v>5.37</v>
      </c>
      <c r="EZ82" s="145">
        <v>5.38</v>
      </c>
      <c r="FA82" s="145">
        <v>5.39</v>
      </c>
      <c r="FB82" s="41">
        <v>5.37</v>
      </c>
      <c r="FC82" s="41">
        <v>1</v>
      </c>
      <c r="FD82" s="41">
        <v>1</v>
      </c>
      <c r="FE82" s="41">
        <v>1</v>
      </c>
      <c r="FF82" s="41">
        <v>1</v>
      </c>
      <c r="FG82" s="41">
        <v>1</v>
      </c>
      <c r="FH82" s="41">
        <v>1</v>
      </c>
      <c r="FI82" s="41">
        <v>1</v>
      </c>
      <c r="FJ82" s="41">
        <v>1</v>
      </c>
      <c r="FK82" s="41">
        <v>1</v>
      </c>
      <c r="FL82" s="41">
        <v>1</v>
      </c>
      <c r="FM82" s="41">
        <v>1</v>
      </c>
      <c r="FN82" s="41">
        <v>1</v>
      </c>
      <c r="FO82" s="41">
        <v>1</v>
      </c>
      <c r="FP82" s="41">
        <v>1</v>
      </c>
      <c r="FQ82" s="41">
        <v>1</v>
      </c>
      <c r="FR82" s="41">
        <v>1</v>
      </c>
      <c r="FS82" s="41">
        <v>1</v>
      </c>
      <c r="FT82" s="41">
        <v>1</v>
      </c>
      <c r="FU82" s="41">
        <v>1</v>
      </c>
      <c r="FV82" s="41">
        <v>1</v>
      </c>
      <c r="FW82" s="41">
        <v>1</v>
      </c>
      <c r="FX82" s="41">
        <v>1</v>
      </c>
      <c r="FY82" s="41">
        <v>1</v>
      </c>
      <c r="FZ82" s="41">
        <v>1</v>
      </c>
      <c r="GB82" s="145">
        <f t="shared" si="189"/>
        <v>1</v>
      </c>
      <c r="GC82" s="145">
        <v>14.64</v>
      </c>
      <c r="GD82" s="145">
        <v>14.93</v>
      </c>
      <c r="GE82" s="145">
        <v>14.93</v>
      </c>
      <c r="GF82" s="145">
        <v>14.99</v>
      </c>
      <c r="GG82" s="145">
        <v>15.3</v>
      </c>
      <c r="GH82" s="41">
        <v>15.24</v>
      </c>
      <c r="GI82" s="41">
        <v>1</v>
      </c>
      <c r="GJ82" s="41">
        <v>1</v>
      </c>
      <c r="GK82" s="41">
        <v>1</v>
      </c>
      <c r="GL82" s="41">
        <v>1</v>
      </c>
      <c r="GM82" s="41">
        <v>1</v>
      </c>
      <c r="GN82" s="41">
        <v>1</v>
      </c>
      <c r="GO82" s="41">
        <v>1</v>
      </c>
      <c r="GP82" s="41">
        <v>1</v>
      </c>
      <c r="GQ82" s="41">
        <v>1</v>
      </c>
      <c r="GR82" s="41">
        <v>1</v>
      </c>
      <c r="GS82" s="41">
        <v>1</v>
      </c>
      <c r="GT82" s="41">
        <v>1</v>
      </c>
      <c r="GU82" s="41">
        <v>1</v>
      </c>
      <c r="GV82" s="41">
        <v>1</v>
      </c>
      <c r="GW82" s="41">
        <v>1</v>
      </c>
      <c r="GX82" s="41">
        <v>1</v>
      </c>
      <c r="GY82" s="41">
        <v>1</v>
      </c>
      <c r="GZ82" s="41">
        <v>1</v>
      </c>
      <c r="HA82" s="41">
        <v>1</v>
      </c>
      <c r="HB82" s="41">
        <v>1</v>
      </c>
      <c r="HC82" s="41">
        <v>1</v>
      </c>
      <c r="HD82" s="41">
        <v>1</v>
      </c>
      <c r="HE82" s="41">
        <v>1</v>
      </c>
      <c r="HF82" s="41">
        <v>1</v>
      </c>
      <c r="HH82" s="373">
        <v>2</v>
      </c>
      <c r="HI82" s="218">
        <v>1.0900000000000001</v>
      </c>
      <c r="HJ82" s="41">
        <v>1.1299999999999999</v>
      </c>
      <c r="HK82" s="41">
        <v>1.1299999999999999</v>
      </c>
      <c r="HM82" s="373">
        <f t="shared" si="190"/>
        <v>14</v>
      </c>
      <c r="HN82" s="145">
        <v>1</v>
      </c>
      <c r="HO82" s="219">
        <v>1.02</v>
      </c>
      <c r="HP82" s="219">
        <v>1.05</v>
      </c>
      <c r="HQ82" s="219">
        <v>1.101</v>
      </c>
      <c r="HR82" s="219">
        <v>1.1100000000000001</v>
      </c>
      <c r="HS82" s="219">
        <v>1.1299999999999999</v>
      </c>
      <c r="HT82" s="219">
        <v>1.1499999999999999</v>
      </c>
      <c r="HU82" s="219">
        <v>1.18</v>
      </c>
      <c r="HV82" s="219">
        <v>1.23</v>
      </c>
      <c r="HW82" s="219">
        <v>1.18</v>
      </c>
      <c r="HX82" s="219">
        <v>1.35</v>
      </c>
      <c r="HY82" s="219">
        <v>1.83</v>
      </c>
      <c r="HZ82" s="219">
        <v>2.08</v>
      </c>
      <c r="IA82" s="219">
        <v>2.57</v>
      </c>
    </row>
    <row r="83" spans="1:235" ht="12.75" hidden="1" customHeight="1" x14ac:dyDescent="0.2">
      <c r="A83" s="373">
        <f>A82+1</f>
        <v>79</v>
      </c>
      <c r="B83" s="149" t="s">
        <v>1255</v>
      </c>
      <c r="C83" s="150">
        <v>1.1919999999999999</v>
      </c>
      <c r="D83" s="150">
        <v>1.216</v>
      </c>
      <c r="E83" s="150">
        <v>1.125</v>
      </c>
      <c r="F83" s="150">
        <v>1.1359999999999999</v>
      </c>
      <c r="G83" s="150"/>
      <c r="H83" s="226">
        <f ca="1">OFFSET($HH83,0,'Расчет стоимости'!$M$10,1,1)</f>
        <v>1.0900000000000001</v>
      </c>
      <c r="I83" s="150">
        <v>1</v>
      </c>
      <c r="J83" s="150">
        <v>1</v>
      </c>
      <c r="K83" s="149">
        <v>1</v>
      </c>
      <c r="L83" s="149">
        <v>1</v>
      </c>
      <c r="M83" s="372">
        <v>7.0000000000000007E-2</v>
      </c>
      <c r="N83" s="145">
        <v>6.0999999999999999E-2</v>
      </c>
      <c r="O83" s="145">
        <v>2.7000000000000003E-2</v>
      </c>
      <c r="P83" s="145">
        <v>9.3000000000000013E-2</v>
      </c>
      <c r="Q83" s="145">
        <v>6.0000000000000001E-3</v>
      </c>
      <c r="R83" s="152" t="s">
        <v>243</v>
      </c>
      <c r="S83" s="145" t="s">
        <v>266</v>
      </c>
      <c r="T83" s="225">
        <f t="shared" si="182"/>
        <v>1.07</v>
      </c>
      <c r="U83" s="225">
        <f t="shared" si="182"/>
        <v>1.07</v>
      </c>
      <c r="V83" s="225">
        <f t="shared" si="182"/>
        <v>1.07</v>
      </c>
      <c r="W83" s="225">
        <f t="shared" si="182"/>
        <v>1.07</v>
      </c>
      <c r="X83" s="145">
        <f t="shared" si="184"/>
        <v>1</v>
      </c>
      <c r="Y83" s="145">
        <v>6.75</v>
      </c>
      <c r="Z83" s="145">
        <v>6.93</v>
      </c>
      <c r="AA83" s="145">
        <v>6.93</v>
      </c>
      <c r="AB83" s="145">
        <v>6.96</v>
      </c>
      <c r="AC83" s="145">
        <v>7.11</v>
      </c>
      <c r="AD83" s="41">
        <v>7.08</v>
      </c>
      <c r="AE83" s="41">
        <v>1</v>
      </c>
      <c r="AF83" s="41">
        <v>1</v>
      </c>
      <c r="AG83" s="41">
        <v>1</v>
      </c>
      <c r="AH83" s="41">
        <v>1</v>
      </c>
      <c r="AI83" s="41">
        <v>1</v>
      </c>
      <c r="AJ83" s="41">
        <v>1</v>
      </c>
      <c r="AK83" s="41">
        <v>1</v>
      </c>
      <c r="AL83" s="41">
        <v>1</v>
      </c>
      <c r="AM83" s="41">
        <v>1</v>
      </c>
      <c r="AN83" s="41">
        <v>1</v>
      </c>
      <c r="AO83" s="41">
        <v>1</v>
      </c>
      <c r="AP83" s="41">
        <v>1</v>
      </c>
      <c r="AQ83" s="41">
        <v>1</v>
      </c>
      <c r="AR83" s="41">
        <v>1</v>
      </c>
      <c r="AS83" s="41">
        <v>1</v>
      </c>
      <c r="AT83" s="41">
        <v>1</v>
      </c>
      <c r="AU83" s="41">
        <v>1</v>
      </c>
      <c r="AV83" s="41">
        <v>1</v>
      </c>
      <c r="AW83" s="41">
        <v>1</v>
      </c>
      <c r="AX83" s="41">
        <v>1</v>
      </c>
      <c r="AY83" s="41">
        <v>1</v>
      </c>
      <c r="AZ83" s="41">
        <v>1</v>
      </c>
      <c r="BA83" s="41">
        <v>1</v>
      </c>
      <c r="BB83" s="41">
        <v>1</v>
      </c>
      <c r="BD83" s="145">
        <f t="shared" si="185"/>
        <v>1</v>
      </c>
      <c r="BE83" s="145">
        <v>4.29</v>
      </c>
      <c r="BF83" s="145">
        <v>4.37</v>
      </c>
      <c r="BG83" s="145">
        <v>4.37</v>
      </c>
      <c r="BH83" s="145">
        <v>4.3899999999999997</v>
      </c>
      <c r="BI83" s="145">
        <v>4.42</v>
      </c>
      <c r="BJ83" s="41">
        <v>4.4000000000000004</v>
      </c>
      <c r="BK83" s="41">
        <v>1</v>
      </c>
      <c r="BL83" s="41">
        <v>1</v>
      </c>
      <c r="BM83" s="41">
        <v>1</v>
      </c>
      <c r="BN83" s="41">
        <v>1</v>
      </c>
      <c r="BO83" s="41">
        <v>1</v>
      </c>
      <c r="BP83" s="41">
        <v>1</v>
      </c>
      <c r="BQ83" s="41">
        <v>1</v>
      </c>
      <c r="BR83" s="41">
        <v>1</v>
      </c>
      <c r="BS83" s="41">
        <v>1</v>
      </c>
      <c r="BT83" s="41">
        <v>1</v>
      </c>
      <c r="BU83" s="41">
        <v>1</v>
      </c>
      <c r="BV83" s="41">
        <v>1</v>
      </c>
      <c r="BW83" s="41">
        <v>1</v>
      </c>
      <c r="BX83" s="41">
        <v>1</v>
      </c>
      <c r="BY83" s="41">
        <v>1</v>
      </c>
      <c r="BZ83" s="41">
        <v>1</v>
      </c>
      <c r="CA83" s="41">
        <v>1</v>
      </c>
      <c r="CB83" s="41">
        <v>1</v>
      </c>
      <c r="CC83" s="41">
        <v>1</v>
      </c>
      <c r="CD83" s="41">
        <v>1</v>
      </c>
      <c r="CE83" s="41">
        <v>1</v>
      </c>
      <c r="CF83" s="41">
        <v>1</v>
      </c>
      <c r="CG83" s="41">
        <v>1</v>
      </c>
      <c r="CH83" s="41">
        <v>1</v>
      </c>
      <c r="CJ83" s="145">
        <f t="shared" si="186"/>
        <v>1</v>
      </c>
      <c r="CK83" s="145">
        <v>4.6399999999999997</v>
      </c>
      <c r="CL83" s="145">
        <v>4.7699999999999996</v>
      </c>
      <c r="CM83" s="145">
        <v>4.7699999999999996</v>
      </c>
      <c r="CN83" s="145">
        <v>4.79</v>
      </c>
      <c r="CO83" s="145">
        <v>4.8899999999999997</v>
      </c>
      <c r="CP83" s="41">
        <v>4.87</v>
      </c>
      <c r="CQ83" s="41">
        <v>1</v>
      </c>
      <c r="CR83" s="41">
        <v>1</v>
      </c>
      <c r="CS83" s="41">
        <v>1</v>
      </c>
      <c r="CT83" s="41">
        <v>1</v>
      </c>
      <c r="CU83" s="41">
        <v>1</v>
      </c>
      <c r="CV83" s="41">
        <v>1</v>
      </c>
      <c r="CW83" s="41">
        <v>1</v>
      </c>
      <c r="CX83" s="41">
        <v>1</v>
      </c>
      <c r="CY83" s="41">
        <v>1</v>
      </c>
      <c r="CZ83" s="41">
        <v>1</v>
      </c>
      <c r="DA83" s="41">
        <v>1</v>
      </c>
      <c r="DB83" s="41">
        <v>1</v>
      </c>
      <c r="DC83" s="41">
        <v>1</v>
      </c>
      <c r="DD83" s="41">
        <v>1</v>
      </c>
      <c r="DE83" s="41">
        <v>1</v>
      </c>
      <c r="DF83" s="41">
        <v>1</v>
      </c>
      <c r="DG83" s="41">
        <v>1</v>
      </c>
      <c r="DH83" s="41">
        <v>1</v>
      </c>
      <c r="DI83" s="41">
        <v>1</v>
      </c>
      <c r="DJ83" s="41">
        <v>1</v>
      </c>
      <c r="DK83" s="41">
        <v>1</v>
      </c>
      <c r="DL83" s="41">
        <v>1</v>
      </c>
      <c r="DM83" s="41">
        <v>1</v>
      </c>
      <c r="DN83" s="41">
        <v>1</v>
      </c>
      <c r="DP83" s="145">
        <f t="shared" si="187"/>
        <v>1</v>
      </c>
      <c r="DQ83" s="145">
        <v>4.79</v>
      </c>
      <c r="DR83" s="145">
        <v>4.93</v>
      </c>
      <c r="DS83" s="145">
        <v>4.93</v>
      </c>
      <c r="DT83" s="145">
        <v>4.9400000000000004</v>
      </c>
      <c r="DU83" s="145">
        <v>5.04</v>
      </c>
      <c r="DV83" s="41">
        <v>5.0199999999999996</v>
      </c>
      <c r="DW83" s="41">
        <v>1</v>
      </c>
      <c r="DX83" s="41">
        <v>1</v>
      </c>
      <c r="DY83" s="41">
        <v>1</v>
      </c>
      <c r="DZ83" s="41">
        <v>1</v>
      </c>
      <c r="EA83" s="41">
        <v>1</v>
      </c>
      <c r="EB83" s="41">
        <v>1</v>
      </c>
      <c r="EC83" s="41">
        <v>1</v>
      </c>
      <c r="ED83" s="41">
        <v>1</v>
      </c>
      <c r="EE83" s="41">
        <v>1</v>
      </c>
      <c r="EF83" s="41">
        <v>1</v>
      </c>
      <c r="EG83" s="41">
        <v>1</v>
      </c>
      <c r="EH83" s="41">
        <v>1</v>
      </c>
      <c r="EI83" s="41">
        <v>1</v>
      </c>
      <c r="EJ83" s="41">
        <v>1</v>
      </c>
      <c r="EK83" s="41">
        <v>1</v>
      </c>
      <c r="EL83" s="41">
        <v>1</v>
      </c>
      <c r="EM83" s="41">
        <v>1</v>
      </c>
      <c r="EN83" s="41">
        <v>1</v>
      </c>
      <c r="EO83" s="41">
        <v>1</v>
      </c>
      <c r="EP83" s="41">
        <v>1</v>
      </c>
      <c r="EQ83" s="41">
        <v>1</v>
      </c>
      <c r="ER83" s="41">
        <v>1</v>
      </c>
      <c r="ES83" s="41">
        <v>1</v>
      </c>
      <c r="ET83" s="41">
        <v>1</v>
      </c>
      <c r="EV83" s="145">
        <f t="shared" si="188"/>
        <v>1</v>
      </c>
      <c r="EW83" s="145">
        <v>4.88</v>
      </c>
      <c r="EX83" s="145">
        <v>5.01</v>
      </c>
      <c r="EY83" s="145">
        <v>5.01</v>
      </c>
      <c r="EZ83" s="145">
        <v>5.03</v>
      </c>
      <c r="FA83" s="145">
        <v>5.14</v>
      </c>
      <c r="FB83" s="41">
        <v>5.12</v>
      </c>
      <c r="FC83" s="41">
        <v>1</v>
      </c>
      <c r="FD83" s="41">
        <v>1</v>
      </c>
      <c r="FE83" s="41">
        <v>1</v>
      </c>
      <c r="FF83" s="41">
        <v>1</v>
      </c>
      <c r="FG83" s="41">
        <v>1</v>
      </c>
      <c r="FH83" s="41">
        <v>1</v>
      </c>
      <c r="FI83" s="41">
        <v>1</v>
      </c>
      <c r="FJ83" s="41">
        <v>1</v>
      </c>
      <c r="FK83" s="41">
        <v>1</v>
      </c>
      <c r="FL83" s="41">
        <v>1</v>
      </c>
      <c r="FM83" s="41">
        <v>1</v>
      </c>
      <c r="FN83" s="41">
        <v>1</v>
      </c>
      <c r="FO83" s="41">
        <v>1</v>
      </c>
      <c r="FP83" s="41">
        <v>1</v>
      </c>
      <c r="FQ83" s="41">
        <v>1</v>
      </c>
      <c r="FR83" s="41">
        <v>1</v>
      </c>
      <c r="FS83" s="41">
        <v>1</v>
      </c>
      <c r="FT83" s="41">
        <v>1</v>
      </c>
      <c r="FU83" s="41">
        <v>1</v>
      </c>
      <c r="FV83" s="41">
        <v>1</v>
      </c>
      <c r="FW83" s="41">
        <v>1</v>
      </c>
      <c r="FX83" s="41">
        <v>1</v>
      </c>
      <c r="FY83" s="41">
        <v>1</v>
      </c>
      <c r="FZ83" s="41">
        <v>1</v>
      </c>
      <c r="GB83" s="145">
        <f t="shared" si="189"/>
        <v>1</v>
      </c>
      <c r="GC83" s="145">
        <v>13.68</v>
      </c>
      <c r="GD83" s="145">
        <v>14.04</v>
      </c>
      <c r="GE83" s="145">
        <v>14.04</v>
      </c>
      <c r="GF83" s="145">
        <v>14.1</v>
      </c>
      <c r="GG83" s="145">
        <v>14.4</v>
      </c>
      <c r="GH83" s="41">
        <v>14.34</v>
      </c>
      <c r="GI83" s="41">
        <v>1</v>
      </c>
      <c r="GJ83" s="41">
        <v>1</v>
      </c>
      <c r="GK83" s="41">
        <v>1</v>
      </c>
      <c r="GL83" s="41">
        <v>1</v>
      </c>
      <c r="GM83" s="41">
        <v>1</v>
      </c>
      <c r="GN83" s="41">
        <v>1</v>
      </c>
      <c r="GO83" s="41">
        <v>1</v>
      </c>
      <c r="GP83" s="41">
        <v>1</v>
      </c>
      <c r="GQ83" s="41">
        <v>1</v>
      </c>
      <c r="GR83" s="41">
        <v>1</v>
      </c>
      <c r="GS83" s="41">
        <v>1</v>
      </c>
      <c r="GT83" s="41">
        <v>1</v>
      </c>
      <c r="GU83" s="41">
        <v>1</v>
      </c>
      <c r="GV83" s="41">
        <v>1</v>
      </c>
      <c r="GW83" s="41">
        <v>1</v>
      </c>
      <c r="GX83" s="41">
        <v>1</v>
      </c>
      <c r="GY83" s="41">
        <v>1</v>
      </c>
      <c r="GZ83" s="41">
        <v>1</v>
      </c>
      <c r="HA83" s="41">
        <v>1</v>
      </c>
      <c r="HB83" s="41">
        <v>1</v>
      </c>
      <c r="HC83" s="41">
        <v>1</v>
      </c>
      <c r="HD83" s="41">
        <v>1</v>
      </c>
      <c r="HE83" s="41">
        <v>1</v>
      </c>
      <c r="HF83" s="41">
        <v>1</v>
      </c>
      <c r="HH83" s="373">
        <v>1</v>
      </c>
      <c r="HI83" s="218">
        <v>1.0900000000000001</v>
      </c>
      <c r="HJ83" s="229">
        <v>1.0900000000000001</v>
      </c>
      <c r="HK83" s="229">
        <v>1.0900000000000001</v>
      </c>
      <c r="HM83" s="373">
        <f t="shared" si="190"/>
        <v>6</v>
      </c>
      <c r="HN83" s="145">
        <v>1</v>
      </c>
      <c r="HO83" s="219">
        <v>1.02</v>
      </c>
      <c r="HP83" s="219">
        <v>1.04</v>
      </c>
      <c r="HQ83" s="219">
        <v>1.07</v>
      </c>
      <c r="HR83" s="219">
        <v>1.1499999999999999</v>
      </c>
      <c r="HS83" s="219">
        <v>1.2</v>
      </c>
    </row>
    <row r="84" spans="1:235" ht="12.75" hidden="1" customHeight="1" x14ac:dyDescent="0.2">
      <c r="A84" s="373">
        <f t="shared" si="183"/>
        <v>80</v>
      </c>
      <c r="B84" s="149" t="s">
        <v>178</v>
      </c>
      <c r="C84" s="150">
        <v>2.6440000000000001</v>
      </c>
      <c r="D84" s="150">
        <v>2.6589999999999998</v>
      </c>
      <c r="E84" s="150">
        <v>2.7429999999999999</v>
      </c>
      <c r="F84" s="150">
        <v>2.11</v>
      </c>
      <c r="G84" s="150"/>
      <c r="H84" s="226">
        <f ca="1">OFFSET($HH84,0,'Расчет стоимости'!$M$10,1,1)</f>
        <v>1.1299999999999999</v>
      </c>
      <c r="I84" s="150">
        <f t="shared" ref="I84" si="203">IF(OR(I$5="II",I$5="III",I$5="IV",I$5="V"),1.3,1)</f>
        <v>1.3</v>
      </c>
      <c r="J84" s="150">
        <f t="shared" ref="J84" si="204">IF(OR(J$5="II",J$5="III",J$5="IV",J$5="V"),1.3,1)</f>
        <v>1.3</v>
      </c>
      <c r="K84" s="150">
        <f t="shared" ref="K84:L84" si="205">IF(OR(K$5="II",K$5="III",K$5="IV",K$5="V"),1.3,1)</f>
        <v>1.3</v>
      </c>
      <c r="L84" s="150">
        <f t="shared" si="205"/>
        <v>1.3</v>
      </c>
      <c r="M84" s="372">
        <v>3.2000000000000001E-2</v>
      </c>
      <c r="N84" s="145">
        <v>2.8999999999999998E-2</v>
      </c>
      <c r="O84" s="145">
        <v>1.3000000000000001E-2</v>
      </c>
      <c r="P84" s="145">
        <v>0.04</v>
      </c>
      <c r="Q84" s="145">
        <v>3.0000000000000001E-3</v>
      </c>
      <c r="R84" s="152" t="s">
        <v>236</v>
      </c>
      <c r="S84" s="145" t="s">
        <v>265</v>
      </c>
      <c r="T84" s="225">
        <f t="shared" si="182"/>
        <v>1</v>
      </c>
      <c r="U84" s="225">
        <f t="shared" si="182"/>
        <v>1</v>
      </c>
      <c r="V84" s="225">
        <f t="shared" si="182"/>
        <v>1</v>
      </c>
      <c r="W84" s="225">
        <f t="shared" si="182"/>
        <v>1</v>
      </c>
      <c r="X84" s="145">
        <f t="shared" si="184"/>
        <v>1</v>
      </c>
      <c r="Y84" s="145">
        <v>9.5500000000000007</v>
      </c>
      <c r="Z84" s="145">
        <f>9.71</f>
        <v>9.7100000000000009</v>
      </c>
      <c r="AA84" s="145">
        <v>9.7100000000000009</v>
      </c>
      <c r="AB84" s="145">
        <v>9.75</v>
      </c>
      <c r="AC84" s="145">
        <v>9.9499999999999993</v>
      </c>
      <c r="AD84" s="41">
        <v>9.91</v>
      </c>
      <c r="AE84" s="41">
        <v>1</v>
      </c>
      <c r="AF84" s="41">
        <v>1</v>
      </c>
      <c r="AG84" s="41">
        <v>1</v>
      </c>
      <c r="AH84" s="41">
        <v>1</v>
      </c>
      <c r="AI84" s="41">
        <v>1</v>
      </c>
      <c r="AJ84" s="41">
        <v>1</v>
      </c>
      <c r="AK84" s="41">
        <v>1</v>
      </c>
      <c r="AL84" s="41">
        <v>1</v>
      </c>
      <c r="AM84" s="41">
        <v>1</v>
      </c>
      <c r="AN84" s="41">
        <v>1</v>
      </c>
      <c r="AO84" s="41">
        <v>1</v>
      </c>
      <c r="AP84" s="41">
        <v>1</v>
      </c>
      <c r="AQ84" s="41">
        <v>1</v>
      </c>
      <c r="AR84" s="41">
        <v>1</v>
      </c>
      <c r="AS84" s="41">
        <v>1</v>
      </c>
      <c r="AT84" s="41">
        <v>1</v>
      </c>
      <c r="AU84" s="41">
        <v>1</v>
      </c>
      <c r="AV84" s="41">
        <v>1</v>
      </c>
      <c r="AW84" s="41">
        <v>1</v>
      </c>
      <c r="AX84" s="41">
        <v>1</v>
      </c>
      <c r="AY84" s="41">
        <v>1</v>
      </c>
      <c r="AZ84" s="41">
        <v>1</v>
      </c>
      <c r="BA84" s="41">
        <v>1</v>
      </c>
      <c r="BB84" s="41">
        <v>1</v>
      </c>
      <c r="BD84" s="145">
        <f t="shared" si="185"/>
        <v>1</v>
      </c>
      <c r="BE84" s="145">
        <v>5.29</v>
      </c>
      <c r="BF84" s="145">
        <f>5.33</f>
        <v>5.33</v>
      </c>
      <c r="BG84" s="145">
        <v>5.33</v>
      </c>
      <c r="BH84" s="145">
        <v>5.35</v>
      </c>
      <c r="BI84" s="145">
        <v>5.46</v>
      </c>
      <c r="BJ84" s="41">
        <v>5.44</v>
      </c>
      <c r="BK84" s="41">
        <v>1</v>
      </c>
      <c r="BL84" s="41">
        <v>1</v>
      </c>
      <c r="BM84" s="41">
        <v>1</v>
      </c>
      <c r="BN84" s="41">
        <v>1</v>
      </c>
      <c r="BO84" s="41">
        <v>1</v>
      </c>
      <c r="BP84" s="41">
        <v>1</v>
      </c>
      <c r="BQ84" s="41">
        <v>1</v>
      </c>
      <c r="BR84" s="41">
        <v>1</v>
      </c>
      <c r="BS84" s="41">
        <v>1</v>
      </c>
      <c r="BT84" s="41">
        <v>1</v>
      </c>
      <c r="BU84" s="41">
        <v>1</v>
      </c>
      <c r="BV84" s="41">
        <v>1</v>
      </c>
      <c r="BW84" s="41">
        <v>1</v>
      </c>
      <c r="BX84" s="41">
        <v>1</v>
      </c>
      <c r="BY84" s="41">
        <v>1</v>
      </c>
      <c r="BZ84" s="41">
        <v>1</v>
      </c>
      <c r="CA84" s="41">
        <v>1</v>
      </c>
      <c r="CB84" s="41">
        <v>1</v>
      </c>
      <c r="CC84" s="41">
        <v>1</v>
      </c>
      <c r="CD84" s="41">
        <v>1</v>
      </c>
      <c r="CE84" s="41">
        <v>1</v>
      </c>
      <c r="CF84" s="41">
        <v>1</v>
      </c>
      <c r="CG84" s="41">
        <v>1</v>
      </c>
      <c r="CH84" s="41">
        <v>1</v>
      </c>
      <c r="CJ84" s="145">
        <f t="shared" si="186"/>
        <v>1</v>
      </c>
      <c r="CK84" s="145">
        <v>5.65</v>
      </c>
      <c r="CL84" s="145">
        <v>5.68</v>
      </c>
      <c r="CM84" s="145">
        <v>5.68</v>
      </c>
      <c r="CN84" s="145">
        <v>5.7</v>
      </c>
      <c r="CO84" s="145">
        <v>5.82</v>
      </c>
      <c r="CP84" s="41">
        <v>5.8</v>
      </c>
      <c r="CQ84" s="41">
        <v>1</v>
      </c>
      <c r="CR84" s="41">
        <v>1</v>
      </c>
      <c r="CS84" s="41">
        <v>1</v>
      </c>
      <c r="CT84" s="41">
        <v>1</v>
      </c>
      <c r="CU84" s="41">
        <v>1</v>
      </c>
      <c r="CV84" s="41">
        <v>1</v>
      </c>
      <c r="CW84" s="41">
        <v>1</v>
      </c>
      <c r="CX84" s="41">
        <v>1</v>
      </c>
      <c r="CY84" s="41">
        <v>1</v>
      </c>
      <c r="CZ84" s="41">
        <v>1</v>
      </c>
      <c r="DA84" s="41">
        <v>1</v>
      </c>
      <c r="DB84" s="41">
        <v>1</v>
      </c>
      <c r="DC84" s="41">
        <v>1</v>
      </c>
      <c r="DD84" s="41">
        <v>1</v>
      </c>
      <c r="DE84" s="41">
        <v>1</v>
      </c>
      <c r="DF84" s="41">
        <v>1</v>
      </c>
      <c r="DG84" s="41">
        <v>1</v>
      </c>
      <c r="DH84" s="41">
        <v>1</v>
      </c>
      <c r="DI84" s="41">
        <v>1</v>
      </c>
      <c r="DJ84" s="41">
        <v>1</v>
      </c>
      <c r="DK84" s="41">
        <v>1</v>
      </c>
      <c r="DL84" s="41">
        <v>1</v>
      </c>
      <c r="DM84" s="41">
        <v>1</v>
      </c>
      <c r="DN84" s="41">
        <v>1</v>
      </c>
      <c r="DP84" s="145">
        <f t="shared" si="187"/>
        <v>1</v>
      </c>
      <c r="DQ84" s="145">
        <v>7.26</v>
      </c>
      <c r="DR84" s="145">
        <v>7.38</v>
      </c>
      <c r="DS84" s="145">
        <v>7.38</v>
      </c>
      <c r="DT84" s="145">
        <v>7.41</v>
      </c>
      <c r="DU84" s="145">
        <v>7.57</v>
      </c>
      <c r="DV84" s="41">
        <v>7.54</v>
      </c>
      <c r="DW84" s="41">
        <v>1</v>
      </c>
      <c r="DX84" s="41">
        <v>1</v>
      </c>
      <c r="DY84" s="41">
        <v>1</v>
      </c>
      <c r="DZ84" s="41">
        <v>1</v>
      </c>
      <c r="EA84" s="41">
        <v>1</v>
      </c>
      <c r="EB84" s="41">
        <v>1</v>
      </c>
      <c r="EC84" s="41">
        <v>1</v>
      </c>
      <c r="ED84" s="41">
        <v>1</v>
      </c>
      <c r="EE84" s="41">
        <v>1</v>
      </c>
      <c r="EF84" s="41">
        <v>1</v>
      </c>
      <c r="EG84" s="41">
        <v>1</v>
      </c>
      <c r="EH84" s="41">
        <v>1</v>
      </c>
      <c r="EI84" s="41">
        <v>1</v>
      </c>
      <c r="EJ84" s="41">
        <v>1</v>
      </c>
      <c r="EK84" s="41">
        <v>1</v>
      </c>
      <c r="EL84" s="41">
        <v>1</v>
      </c>
      <c r="EM84" s="41">
        <v>1</v>
      </c>
      <c r="EN84" s="41">
        <v>1</v>
      </c>
      <c r="EO84" s="41">
        <v>1</v>
      </c>
      <c r="EP84" s="41">
        <v>1</v>
      </c>
      <c r="EQ84" s="41">
        <v>1</v>
      </c>
      <c r="ER84" s="41">
        <v>1</v>
      </c>
      <c r="ES84" s="41">
        <v>1</v>
      </c>
      <c r="ET84" s="41">
        <v>1</v>
      </c>
      <c r="EV84" s="145">
        <f t="shared" si="188"/>
        <v>1</v>
      </c>
      <c r="EW84" s="145">
        <v>6.71</v>
      </c>
      <c r="EX84" s="145">
        <f>6.76</f>
        <v>6.76</v>
      </c>
      <c r="EY84" s="145">
        <v>6.76</v>
      </c>
      <c r="EZ84" s="145">
        <v>6.79</v>
      </c>
      <c r="FA84" s="145">
        <v>6.93</v>
      </c>
      <c r="FB84" s="41">
        <v>6.9</v>
      </c>
      <c r="FC84" s="41">
        <v>1</v>
      </c>
      <c r="FD84" s="41">
        <v>1</v>
      </c>
      <c r="FE84" s="41">
        <v>1</v>
      </c>
      <c r="FF84" s="41">
        <v>1</v>
      </c>
      <c r="FG84" s="41">
        <v>1</v>
      </c>
      <c r="FH84" s="41">
        <v>1</v>
      </c>
      <c r="FI84" s="41">
        <v>1</v>
      </c>
      <c r="FJ84" s="41">
        <v>1</v>
      </c>
      <c r="FK84" s="41">
        <v>1</v>
      </c>
      <c r="FL84" s="41">
        <v>1</v>
      </c>
      <c r="FM84" s="41">
        <v>1</v>
      </c>
      <c r="FN84" s="41">
        <v>1</v>
      </c>
      <c r="FO84" s="41">
        <v>1</v>
      </c>
      <c r="FP84" s="41">
        <v>1</v>
      </c>
      <c r="FQ84" s="41">
        <v>1</v>
      </c>
      <c r="FR84" s="41">
        <v>1</v>
      </c>
      <c r="FS84" s="41">
        <v>1</v>
      </c>
      <c r="FT84" s="41">
        <v>1</v>
      </c>
      <c r="FU84" s="41">
        <v>1</v>
      </c>
      <c r="FV84" s="41">
        <v>1</v>
      </c>
      <c r="FW84" s="41">
        <v>1</v>
      </c>
      <c r="FX84" s="41">
        <v>1</v>
      </c>
      <c r="FY84" s="41">
        <v>1</v>
      </c>
      <c r="FZ84" s="41">
        <v>1</v>
      </c>
      <c r="GB84" s="145">
        <f t="shared" si="189"/>
        <v>1</v>
      </c>
      <c r="GC84" s="145">
        <v>21.71</v>
      </c>
      <c r="GD84" s="145">
        <v>22.15</v>
      </c>
      <c r="GE84" s="145">
        <v>22.15</v>
      </c>
      <c r="GF84" s="145">
        <v>22.24</v>
      </c>
      <c r="GG84" s="145">
        <v>22.71</v>
      </c>
      <c r="GH84" s="41">
        <v>22.62</v>
      </c>
      <c r="GI84" s="41">
        <v>1</v>
      </c>
      <c r="GJ84" s="41">
        <v>1</v>
      </c>
      <c r="GK84" s="41">
        <v>1</v>
      </c>
      <c r="GL84" s="41">
        <v>1</v>
      </c>
      <c r="GM84" s="41">
        <v>1</v>
      </c>
      <c r="GN84" s="41">
        <v>1</v>
      </c>
      <c r="GO84" s="41">
        <v>1</v>
      </c>
      <c r="GP84" s="41">
        <v>1</v>
      </c>
      <c r="GQ84" s="41">
        <v>1</v>
      </c>
      <c r="GR84" s="41">
        <v>1</v>
      </c>
      <c r="GS84" s="41">
        <v>1</v>
      </c>
      <c r="GT84" s="41">
        <v>1</v>
      </c>
      <c r="GU84" s="41">
        <v>1</v>
      </c>
      <c r="GV84" s="41">
        <v>1</v>
      </c>
      <c r="GW84" s="41">
        <v>1</v>
      </c>
      <c r="GX84" s="41">
        <v>1</v>
      </c>
      <c r="GY84" s="41">
        <v>1</v>
      </c>
      <c r="GZ84" s="41">
        <v>1</v>
      </c>
      <c r="HA84" s="41">
        <v>1</v>
      </c>
      <c r="HB84" s="41">
        <v>1</v>
      </c>
      <c r="HC84" s="41">
        <v>1</v>
      </c>
      <c r="HD84" s="41">
        <v>1</v>
      </c>
      <c r="HE84" s="41">
        <v>1</v>
      </c>
      <c r="HF84" s="41">
        <v>1</v>
      </c>
      <c r="HH84" s="373">
        <v>2</v>
      </c>
      <c r="HI84" s="218">
        <v>1.0900000000000001</v>
      </c>
      <c r="HJ84" s="41">
        <v>1.1299999999999999</v>
      </c>
      <c r="HK84" s="41">
        <v>1.1299999999999999</v>
      </c>
      <c r="HM84" s="373">
        <f t="shared" si="190"/>
        <v>1</v>
      </c>
      <c r="HN84" s="145">
        <v>1</v>
      </c>
    </row>
    <row r="85" spans="1:235" ht="12.75" hidden="1" customHeight="1" x14ac:dyDescent="0.2">
      <c r="A85" s="373">
        <f>A84+1</f>
        <v>81</v>
      </c>
      <c r="B85" s="149" t="s">
        <v>171</v>
      </c>
      <c r="C85" s="150">
        <v>2.39</v>
      </c>
      <c r="D85" s="150">
        <v>2.508</v>
      </c>
      <c r="E85" s="150">
        <v>2.1739999999999999</v>
      </c>
      <c r="F85" s="150">
        <v>1.65</v>
      </c>
      <c r="G85" s="150"/>
      <c r="H85" s="226">
        <f ca="1">OFFSET($HH85,0,'Расчет стоимости'!$M$10,1,1)</f>
        <v>1.19</v>
      </c>
      <c r="I85" s="150">
        <v>1</v>
      </c>
      <c r="J85" s="150">
        <v>1</v>
      </c>
      <c r="K85" s="149">
        <v>1</v>
      </c>
      <c r="L85" s="149">
        <v>1</v>
      </c>
      <c r="M85" s="372">
        <v>7.0000000000000007E-2</v>
      </c>
      <c r="N85" s="145">
        <v>6.0999999999999999E-2</v>
      </c>
      <c r="O85" s="145">
        <v>2.7000000000000003E-2</v>
      </c>
      <c r="P85" s="145">
        <v>9.3000000000000013E-2</v>
      </c>
      <c r="Q85" s="145">
        <v>6.0000000000000001E-3</v>
      </c>
      <c r="R85" s="152" t="s">
        <v>243</v>
      </c>
      <c r="S85" s="145" t="s">
        <v>265</v>
      </c>
      <c r="T85" s="225">
        <f t="shared" si="182"/>
        <v>1</v>
      </c>
      <c r="U85" s="225">
        <f t="shared" si="182"/>
        <v>1</v>
      </c>
      <c r="V85" s="225">
        <f t="shared" si="182"/>
        <v>1</v>
      </c>
      <c r="W85" s="225">
        <f t="shared" si="182"/>
        <v>1</v>
      </c>
      <c r="X85" s="145">
        <f t="shared" si="184"/>
        <v>1</v>
      </c>
      <c r="Y85" s="145">
        <v>12.15</v>
      </c>
      <c r="Z85" s="145">
        <f>12.13</f>
        <v>12.13</v>
      </c>
      <c r="AA85" s="145">
        <v>12.13</v>
      </c>
      <c r="AB85" s="145">
        <v>12.18</v>
      </c>
      <c r="AC85" s="145">
        <v>12.44</v>
      </c>
      <c r="AD85" s="41">
        <v>12.39</v>
      </c>
      <c r="AE85" s="41">
        <v>1</v>
      </c>
      <c r="AF85" s="41">
        <v>1</v>
      </c>
      <c r="AG85" s="41">
        <v>1</v>
      </c>
      <c r="AH85" s="41">
        <v>1</v>
      </c>
      <c r="AI85" s="41">
        <v>1</v>
      </c>
      <c r="AJ85" s="41">
        <v>1</v>
      </c>
      <c r="AK85" s="41">
        <v>1</v>
      </c>
      <c r="AL85" s="41">
        <v>1</v>
      </c>
      <c r="AM85" s="41">
        <v>1</v>
      </c>
      <c r="AN85" s="41">
        <v>1</v>
      </c>
      <c r="AO85" s="41">
        <v>1</v>
      </c>
      <c r="AP85" s="41">
        <v>1</v>
      </c>
      <c r="AQ85" s="41">
        <v>1</v>
      </c>
      <c r="AR85" s="41">
        <v>1</v>
      </c>
      <c r="AS85" s="41">
        <v>1</v>
      </c>
      <c r="AT85" s="41">
        <v>1</v>
      </c>
      <c r="AU85" s="41">
        <v>1</v>
      </c>
      <c r="AV85" s="41">
        <v>1</v>
      </c>
      <c r="AW85" s="41">
        <v>1</v>
      </c>
      <c r="AX85" s="41">
        <v>1</v>
      </c>
      <c r="AY85" s="41">
        <v>1</v>
      </c>
      <c r="AZ85" s="41">
        <v>1</v>
      </c>
      <c r="BA85" s="41">
        <v>1</v>
      </c>
      <c r="BB85" s="41">
        <v>1</v>
      </c>
      <c r="BD85" s="145">
        <f t="shared" si="185"/>
        <v>1</v>
      </c>
      <c r="BE85" s="145">
        <v>6.69</v>
      </c>
      <c r="BF85" s="145">
        <f>6.6</f>
        <v>6.6</v>
      </c>
      <c r="BG85" s="145">
        <v>6.6</v>
      </c>
      <c r="BH85" s="145">
        <v>6.63</v>
      </c>
      <c r="BI85" s="145">
        <v>6.72</v>
      </c>
      <c r="BJ85" s="41">
        <v>6.67</v>
      </c>
      <c r="BK85" s="41">
        <v>1</v>
      </c>
      <c r="BL85" s="41">
        <v>1</v>
      </c>
      <c r="BM85" s="41">
        <v>1</v>
      </c>
      <c r="BN85" s="41">
        <v>1</v>
      </c>
      <c r="BO85" s="41">
        <v>1</v>
      </c>
      <c r="BP85" s="41">
        <v>1</v>
      </c>
      <c r="BQ85" s="41">
        <v>1</v>
      </c>
      <c r="BR85" s="41">
        <v>1</v>
      </c>
      <c r="BS85" s="41">
        <v>1</v>
      </c>
      <c r="BT85" s="41">
        <v>1</v>
      </c>
      <c r="BU85" s="41">
        <v>1</v>
      </c>
      <c r="BV85" s="41">
        <v>1</v>
      </c>
      <c r="BW85" s="41">
        <v>1</v>
      </c>
      <c r="BX85" s="41">
        <v>1</v>
      </c>
      <c r="BY85" s="41">
        <v>1</v>
      </c>
      <c r="BZ85" s="41">
        <v>1</v>
      </c>
      <c r="CA85" s="41">
        <v>1</v>
      </c>
      <c r="CB85" s="41">
        <v>1</v>
      </c>
      <c r="CC85" s="41">
        <v>1</v>
      </c>
      <c r="CD85" s="41">
        <v>1</v>
      </c>
      <c r="CE85" s="41">
        <v>1</v>
      </c>
      <c r="CF85" s="41">
        <v>1</v>
      </c>
      <c r="CG85" s="41">
        <v>1</v>
      </c>
      <c r="CH85" s="41">
        <v>1</v>
      </c>
      <c r="CJ85" s="145">
        <f t="shared" si="186"/>
        <v>1</v>
      </c>
      <c r="CK85" s="145">
        <v>6.22</v>
      </c>
      <c r="CL85" s="145">
        <v>6.13</v>
      </c>
      <c r="CM85" s="145">
        <v>6.13</v>
      </c>
      <c r="CN85" s="145">
        <v>6.15</v>
      </c>
      <c r="CO85" s="145">
        <v>6.21</v>
      </c>
      <c r="CP85" s="41">
        <v>6.18</v>
      </c>
      <c r="CQ85" s="41">
        <v>1</v>
      </c>
      <c r="CR85" s="41">
        <v>1</v>
      </c>
      <c r="CS85" s="41">
        <v>1</v>
      </c>
      <c r="CT85" s="41">
        <v>1</v>
      </c>
      <c r="CU85" s="41">
        <v>1</v>
      </c>
      <c r="CV85" s="41">
        <v>1</v>
      </c>
      <c r="CW85" s="41">
        <v>1</v>
      </c>
      <c r="CX85" s="41">
        <v>1</v>
      </c>
      <c r="CY85" s="41">
        <v>1</v>
      </c>
      <c r="CZ85" s="41">
        <v>1</v>
      </c>
      <c r="DA85" s="41">
        <v>1</v>
      </c>
      <c r="DB85" s="41">
        <v>1</v>
      </c>
      <c r="DC85" s="41">
        <v>1</v>
      </c>
      <c r="DD85" s="41">
        <v>1</v>
      </c>
      <c r="DE85" s="41">
        <v>1</v>
      </c>
      <c r="DF85" s="41">
        <v>1</v>
      </c>
      <c r="DG85" s="41">
        <v>1</v>
      </c>
      <c r="DH85" s="41">
        <v>1</v>
      </c>
      <c r="DI85" s="41">
        <v>1</v>
      </c>
      <c r="DJ85" s="41">
        <v>1</v>
      </c>
      <c r="DK85" s="41">
        <v>1</v>
      </c>
      <c r="DL85" s="41">
        <v>1</v>
      </c>
      <c r="DM85" s="41">
        <v>1</v>
      </c>
      <c r="DN85" s="41">
        <v>1</v>
      </c>
      <c r="DP85" s="145">
        <f t="shared" si="187"/>
        <v>1</v>
      </c>
      <c r="DQ85" s="145">
        <v>8.64</v>
      </c>
      <c r="DR85" s="145">
        <v>8.64</v>
      </c>
      <c r="DS85" s="145">
        <v>8.64</v>
      </c>
      <c r="DT85" s="145">
        <v>8.67</v>
      </c>
      <c r="DU85" s="145">
        <v>8.85</v>
      </c>
      <c r="DV85" s="41">
        <v>8.81</v>
      </c>
      <c r="DW85" s="41">
        <v>1</v>
      </c>
      <c r="DX85" s="41">
        <v>1</v>
      </c>
      <c r="DY85" s="41">
        <v>1</v>
      </c>
      <c r="DZ85" s="41">
        <v>1</v>
      </c>
      <c r="EA85" s="41">
        <v>1</v>
      </c>
      <c r="EB85" s="41">
        <v>1</v>
      </c>
      <c r="EC85" s="41">
        <v>1</v>
      </c>
      <c r="ED85" s="41">
        <v>1</v>
      </c>
      <c r="EE85" s="41">
        <v>1</v>
      </c>
      <c r="EF85" s="41">
        <v>1</v>
      </c>
      <c r="EG85" s="41">
        <v>1</v>
      </c>
      <c r="EH85" s="41">
        <v>1</v>
      </c>
      <c r="EI85" s="41">
        <v>1</v>
      </c>
      <c r="EJ85" s="41">
        <v>1</v>
      </c>
      <c r="EK85" s="41">
        <v>1</v>
      </c>
      <c r="EL85" s="41">
        <v>1</v>
      </c>
      <c r="EM85" s="41">
        <v>1</v>
      </c>
      <c r="EN85" s="41">
        <v>1</v>
      </c>
      <c r="EO85" s="41">
        <v>1</v>
      </c>
      <c r="EP85" s="41">
        <v>1</v>
      </c>
      <c r="EQ85" s="41">
        <v>1</v>
      </c>
      <c r="ER85" s="41">
        <v>1</v>
      </c>
      <c r="ES85" s="41">
        <v>1</v>
      </c>
      <c r="ET85" s="41">
        <v>1</v>
      </c>
      <c r="EV85" s="145">
        <f t="shared" si="188"/>
        <v>1</v>
      </c>
      <c r="EW85" s="145">
        <v>7.37</v>
      </c>
      <c r="EX85" s="145">
        <f>7.32</f>
        <v>7.32</v>
      </c>
      <c r="EY85" s="145">
        <v>7.32</v>
      </c>
      <c r="EZ85" s="145">
        <v>7.35</v>
      </c>
      <c r="FA85" s="145">
        <v>7.5</v>
      </c>
      <c r="FB85" s="41">
        <v>7.47</v>
      </c>
      <c r="FC85" s="41">
        <v>1</v>
      </c>
      <c r="FD85" s="41">
        <v>1</v>
      </c>
      <c r="FE85" s="41">
        <v>1</v>
      </c>
      <c r="FF85" s="41">
        <v>1</v>
      </c>
      <c r="FG85" s="41">
        <v>1</v>
      </c>
      <c r="FH85" s="41">
        <v>1</v>
      </c>
      <c r="FI85" s="41">
        <v>1</v>
      </c>
      <c r="FJ85" s="41">
        <v>1</v>
      </c>
      <c r="FK85" s="41">
        <v>1</v>
      </c>
      <c r="FL85" s="41">
        <v>1</v>
      </c>
      <c r="FM85" s="41">
        <v>1</v>
      </c>
      <c r="FN85" s="41">
        <v>1</v>
      </c>
      <c r="FO85" s="41">
        <v>1</v>
      </c>
      <c r="FP85" s="41">
        <v>1</v>
      </c>
      <c r="FQ85" s="41">
        <v>1</v>
      </c>
      <c r="FR85" s="41">
        <v>1</v>
      </c>
      <c r="FS85" s="41">
        <v>1</v>
      </c>
      <c r="FT85" s="41">
        <v>1</v>
      </c>
      <c r="FU85" s="41">
        <v>1</v>
      </c>
      <c r="FV85" s="41">
        <v>1</v>
      </c>
      <c r="FW85" s="41">
        <v>1</v>
      </c>
      <c r="FX85" s="41">
        <v>1</v>
      </c>
      <c r="FY85" s="41">
        <v>1</v>
      </c>
      <c r="FZ85" s="41">
        <v>1</v>
      </c>
      <c r="GB85" s="145">
        <f t="shared" si="189"/>
        <v>1</v>
      </c>
      <c r="GC85" s="145">
        <v>21.85</v>
      </c>
      <c r="GD85" s="145">
        <v>21.87</v>
      </c>
      <c r="GE85" s="145">
        <v>21.87</v>
      </c>
      <c r="GF85" s="145">
        <v>21.96</v>
      </c>
      <c r="GG85" s="145">
        <v>22.42</v>
      </c>
      <c r="GH85" s="41">
        <v>22.33</v>
      </c>
      <c r="GI85" s="41">
        <v>1</v>
      </c>
      <c r="GJ85" s="41">
        <v>1</v>
      </c>
      <c r="GK85" s="41">
        <v>1</v>
      </c>
      <c r="GL85" s="41">
        <v>1</v>
      </c>
      <c r="GM85" s="41">
        <v>1</v>
      </c>
      <c r="GN85" s="41">
        <v>1</v>
      </c>
      <c r="GO85" s="41">
        <v>1</v>
      </c>
      <c r="GP85" s="41">
        <v>1</v>
      </c>
      <c r="GQ85" s="41">
        <v>1</v>
      </c>
      <c r="GR85" s="41">
        <v>1</v>
      </c>
      <c r="GS85" s="41">
        <v>1</v>
      </c>
      <c r="GT85" s="41">
        <v>1</v>
      </c>
      <c r="GU85" s="41">
        <v>1</v>
      </c>
      <c r="GV85" s="41">
        <v>1</v>
      </c>
      <c r="GW85" s="41">
        <v>1</v>
      </c>
      <c r="GX85" s="41">
        <v>1</v>
      </c>
      <c r="GY85" s="41">
        <v>1</v>
      </c>
      <c r="GZ85" s="41">
        <v>1</v>
      </c>
      <c r="HA85" s="41">
        <v>1</v>
      </c>
      <c r="HB85" s="41">
        <v>1</v>
      </c>
      <c r="HC85" s="41">
        <v>1</v>
      </c>
      <c r="HD85" s="41">
        <v>1</v>
      </c>
      <c r="HE85" s="41">
        <v>1</v>
      </c>
      <c r="HF85" s="41">
        <v>1</v>
      </c>
      <c r="HH85" s="373">
        <v>2</v>
      </c>
      <c r="HI85" s="218">
        <v>1.0900000000000001</v>
      </c>
      <c r="HJ85" s="41">
        <v>1.19</v>
      </c>
      <c r="HK85" s="41">
        <v>1.19</v>
      </c>
      <c r="HM85" s="373">
        <f t="shared" si="190"/>
        <v>1</v>
      </c>
      <c r="HN85" s="145">
        <v>1</v>
      </c>
    </row>
    <row r="86" spans="1:235" ht="12.75" hidden="1" customHeight="1" x14ac:dyDescent="0.2">
      <c r="A86" s="373">
        <f t="shared" si="183"/>
        <v>82</v>
      </c>
      <c r="B86" s="149" t="s">
        <v>1256</v>
      </c>
      <c r="C86" s="150">
        <v>2.72</v>
      </c>
      <c r="D86" s="150">
        <v>2.2109999999999999</v>
      </c>
      <c r="E86" s="150">
        <v>4.7569999999999997</v>
      </c>
      <c r="F86" s="150">
        <v>1.6459999999999999</v>
      </c>
      <c r="G86" s="150"/>
      <c r="H86" s="226">
        <f ca="1">OFFSET($HH86,0,'Расчет стоимости'!$M$10,1,1)</f>
        <v>1.0900000000000001</v>
      </c>
      <c r="I86" s="150">
        <v>1</v>
      </c>
      <c r="J86" s="150">
        <v>1</v>
      </c>
      <c r="K86" s="149">
        <v>1</v>
      </c>
      <c r="L86" s="149">
        <v>1</v>
      </c>
      <c r="M86" s="372">
        <v>4.2999999999999997E-2</v>
      </c>
      <c r="N86" s="145">
        <v>3.7000000000000005E-2</v>
      </c>
      <c r="O86" s="145">
        <v>1.7000000000000001E-2</v>
      </c>
      <c r="P86" s="145">
        <v>5.5E-2</v>
      </c>
      <c r="Q86" s="145">
        <v>4.0000000000000001E-3</v>
      </c>
      <c r="R86" s="152" t="s">
        <v>242</v>
      </c>
      <c r="S86" s="145" t="s">
        <v>265</v>
      </c>
      <c r="T86" s="225">
        <f t="shared" ref="T86:W91" si="206">IF(IFERROR(HLOOKUP(T$5,$HN$5:$IQ$91,$A86,FALSE),0)=0,1,HLOOKUP(T$5,$HN$5:$IQ$91,$A86,FALSE))</f>
        <v>1</v>
      </c>
      <c r="U86" s="225">
        <f t="shared" si="206"/>
        <v>1</v>
      </c>
      <c r="V86" s="225">
        <f t="shared" si="206"/>
        <v>1</v>
      </c>
      <c r="W86" s="225">
        <f t="shared" si="206"/>
        <v>1</v>
      </c>
      <c r="X86" s="145">
        <f t="shared" si="184"/>
        <v>1</v>
      </c>
      <c r="Y86" s="145">
        <v>10.039999999999999</v>
      </c>
      <c r="Z86" s="145">
        <f>10.3</f>
        <v>10.3</v>
      </c>
      <c r="AA86" s="145">
        <v>10.3</v>
      </c>
      <c r="AB86" s="145">
        <v>10.34</v>
      </c>
      <c r="AC86" s="145">
        <v>10.56</v>
      </c>
      <c r="AD86" s="41">
        <v>10.52</v>
      </c>
      <c r="AE86" s="41">
        <v>1</v>
      </c>
      <c r="AF86" s="41">
        <v>1</v>
      </c>
      <c r="AG86" s="41">
        <v>1</v>
      </c>
      <c r="AH86" s="41">
        <v>1</v>
      </c>
      <c r="AI86" s="41">
        <v>1</v>
      </c>
      <c r="AJ86" s="41">
        <v>1</v>
      </c>
      <c r="AK86" s="41">
        <v>1</v>
      </c>
      <c r="AL86" s="41">
        <v>1</v>
      </c>
      <c r="AM86" s="41">
        <v>1</v>
      </c>
      <c r="AN86" s="41">
        <v>1</v>
      </c>
      <c r="AO86" s="41">
        <v>1</v>
      </c>
      <c r="AP86" s="41">
        <v>1</v>
      </c>
      <c r="AQ86" s="41">
        <v>1</v>
      </c>
      <c r="AR86" s="41">
        <v>1</v>
      </c>
      <c r="AS86" s="41">
        <v>1</v>
      </c>
      <c r="AT86" s="41">
        <v>1</v>
      </c>
      <c r="AU86" s="41">
        <v>1</v>
      </c>
      <c r="AV86" s="41">
        <v>1</v>
      </c>
      <c r="AW86" s="41">
        <v>1</v>
      </c>
      <c r="AX86" s="41">
        <v>1</v>
      </c>
      <c r="AY86" s="41">
        <v>1</v>
      </c>
      <c r="AZ86" s="41">
        <v>1</v>
      </c>
      <c r="BA86" s="41">
        <v>1</v>
      </c>
      <c r="BB86" s="41">
        <v>1</v>
      </c>
      <c r="BD86" s="145">
        <f t="shared" si="185"/>
        <v>1</v>
      </c>
      <c r="BE86" s="145">
        <v>5.89</v>
      </c>
      <c r="BF86" s="145">
        <f>6</f>
        <v>6</v>
      </c>
      <c r="BG86" s="145">
        <v>6</v>
      </c>
      <c r="BH86" s="145">
        <v>6.02</v>
      </c>
      <c r="BI86" s="145">
        <v>6.15</v>
      </c>
      <c r="BJ86" s="41">
        <v>6.13</v>
      </c>
      <c r="BK86" s="41">
        <v>1</v>
      </c>
      <c r="BL86" s="41">
        <v>1</v>
      </c>
      <c r="BM86" s="41">
        <v>1</v>
      </c>
      <c r="BN86" s="41">
        <v>1</v>
      </c>
      <c r="BO86" s="41">
        <v>1</v>
      </c>
      <c r="BP86" s="41">
        <v>1</v>
      </c>
      <c r="BQ86" s="41">
        <v>1</v>
      </c>
      <c r="BR86" s="41">
        <v>1</v>
      </c>
      <c r="BS86" s="41">
        <v>1</v>
      </c>
      <c r="BT86" s="41">
        <v>1</v>
      </c>
      <c r="BU86" s="41">
        <v>1</v>
      </c>
      <c r="BV86" s="41">
        <v>1</v>
      </c>
      <c r="BW86" s="41">
        <v>1</v>
      </c>
      <c r="BX86" s="41">
        <v>1</v>
      </c>
      <c r="BY86" s="41">
        <v>1</v>
      </c>
      <c r="BZ86" s="41">
        <v>1</v>
      </c>
      <c r="CA86" s="41">
        <v>1</v>
      </c>
      <c r="CB86" s="41">
        <v>1</v>
      </c>
      <c r="CC86" s="41">
        <v>1</v>
      </c>
      <c r="CD86" s="41">
        <v>1</v>
      </c>
      <c r="CE86" s="41">
        <v>1</v>
      </c>
      <c r="CF86" s="41">
        <v>1</v>
      </c>
      <c r="CG86" s="41">
        <v>1</v>
      </c>
      <c r="CH86" s="41">
        <v>1</v>
      </c>
      <c r="CJ86" s="145">
        <f t="shared" si="186"/>
        <v>1</v>
      </c>
      <c r="CK86" s="145">
        <v>5.51</v>
      </c>
      <c r="CL86" s="145">
        <v>5.61</v>
      </c>
      <c r="CM86" s="145">
        <v>5.61</v>
      </c>
      <c r="CN86" s="145">
        <v>5.63</v>
      </c>
      <c r="CO86" s="145">
        <v>5.75</v>
      </c>
      <c r="CP86" s="41">
        <v>5.73</v>
      </c>
      <c r="CQ86" s="41">
        <v>1</v>
      </c>
      <c r="CR86" s="41">
        <v>1</v>
      </c>
      <c r="CS86" s="41">
        <v>1</v>
      </c>
      <c r="CT86" s="41">
        <v>1</v>
      </c>
      <c r="CU86" s="41">
        <v>1</v>
      </c>
      <c r="CV86" s="41">
        <v>1</v>
      </c>
      <c r="CW86" s="41">
        <v>1</v>
      </c>
      <c r="CX86" s="41">
        <v>1</v>
      </c>
      <c r="CY86" s="41">
        <v>1</v>
      </c>
      <c r="CZ86" s="41">
        <v>1</v>
      </c>
      <c r="DA86" s="41">
        <v>1</v>
      </c>
      <c r="DB86" s="41">
        <v>1</v>
      </c>
      <c r="DC86" s="41">
        <v>1</v>
      </c>
      <c r="DD86" s="41">
        <v>1</v>
      </c>
      <c r="DE86" s="41">
        <v>1</v>
      </c>
      <c r="DF86" s="41">
        <v>1</v>
      </c>
      <c r="DG86" s="41">
        <v>1</v>
      </c>
      <c r="DH86" s="41">
        <v>1</v>
      </c>
      <c r="DI86" s="41">
        <v>1</v>
      </c>
      <c r="DJ86" s="41">
        <v>1</v>
      </c>
      <c r="DK86" s="41">
        <v>1</v>
      </c>
      <c r="DL86" s="41">
        <v>1</v>
      </c>
      <c r="DM86" s="41">
        <v>1</v>
      </c>
      <c r="DN86" s="41">
        <v>1</v>
      </c>
      <c r="DP86" s="145">
        <f t="shared" si="187"/>
        <v>1</v>
      </c>
      <c r="DQ86" s="145">
        <v>7.41</v>
      </c>
      <c r="DR86" s="145">
        <v>7.6</v>
      </c>
      <c r="DS86" s="145">
        <v>7.6</v>
      </c>
      <c r="DT86" s="145">
        <v>7.63</v>
      </c>
      <c r="DU86" s="145">
        <v>7.79</v>
      </c>
      <c r="DV86" s="41">
        <v>7.76</v>
      </c>
      <c r="DW86" s="41">
        <v>1</v>
      </c>
      <c r="DX86" s="41">
        <v>1</v>
      </c>
      <c r="DY86" s="41">
        <v>1</v>
      </c>
      <c r="DZ86" s="41">
        <v>1</v>
      </c>
      <c r="EA86" s="41">
        <v>1</v>
      </c>
      <c r="EB86" s="41">
        <v>1</v>
      </c>
      <c r="EC86" s="41">
        <v>1</v>
      </c>
      <c r="ED86" s="41">
        <v>1</v>
      </c>
      <c r="EE86" s="41">
        <v>1</v>
      </c>
      <c r="EF86" s="41">
        <v>1</v>
      </c>
      <c r="EG86" s="41">
        <v>1</v>
      </c>
      <c r="EH86" s="41">
        <v>1</v>
      </c>
      <c r="EI86" s="41">
        <v>1</v>
      </c>
      <c r="EJ86" s="41">
        <v>1</v>
      </c>
      <c r="EK86" s="41">
        <v>1</v>
      </c>
      <c r="EL86" s="41">
        <v>1</v>
      </c>
      <c r="EM86" s="41">
        <v>1</v>
      </c>
      <c r="EN86" s="41">
        <v>1</v>
      </c>
      <c r="EO86" s="41">
        <v>1</v>
      </c>
      <c r="EP86" s="41">
        <v>1</v>
      </c>
      <c r="EQ86" s="41">
        <v>1</v>
      </c>
      <c r="ER86" s="41">
        <v>1</v>
      </c>
      <c r="ES86" s="41">
        <v>1</v>
      </c>
      <c r="ET86" s="41">
        <v>1</v>
      </c>
      <c r="EV86" s="145">
        <f t="shared" si="188"/>
        <v>1</v>
      </c>
      <c r="EW86" s="145">
        <v>6.15</v>
      </c>
      <c r="EX86" s="145">
        <f>6.31</f>
        <v>6.31</v>
      </c>
      <c r="EY86" s="145">
        <v>6.31</v>
      </c>
      <c r="EZ86" s="145">
        <v>6.34</v>
      </c>
      <c r="FA86" s="145">
        <v>6.47</v>
      </c>
      <c r="FB86" s="41">
        <v>6.44</v>
      </c>
      <c r="FC86" s="41">
        <v>1</v>
      </c>
      <c r="FD86" s="41">
        <v>1</v>
      </c>
      <c r="FE86" s="41">
        <v>1</v>
      </c>
      <c r="FF86" s="41">
        <v>1</v>
      </c>
      <c r="FG86" s="41">
        <v>1</v>
      </c>
      <c r="FH86" s="41">
        <v>1</v>
      </c>
      <c r="FI86" s="41">
        <v>1</v>
      </c>
      <c r="FJ86" s="41">
        <v>1</v>
      </c>
      <c r="FK86" s="41">
        <v>1</v>
      </c>
      <c r="FL86" s="41">
        <v>1</v>
      </c>
      <c r="FM86" s="41">
        <v>1</v>
      </c>
      <c r="FN86" s="41">
        <v>1</v>
      </c>
      <c r="FO86" s="41">
        <v>1</v>
      </c>
      <c r="FP86" s="41">
        <v>1</v>
      </c>
      <c r="FQ86" s="41">
        <v>1</v>
      </c>
      <c r="FR86" s="41">
        <v>1</v>
      </c>
      <c r="FS86" s="41">
        <v>1</v>
      </c>
      <c r="FT86" s="41">
        <v>1</v>
      </c>
      <c r="FU86" s="41">
        <v>1</v>
      </c>
      <c r="FV86" s="41">
        <v>1</v>
      </c>
      <c r="FW86" s="41">
        <v>1</v>
      </c>
      <c r="FX86" s="41">
        <v>1</v>
      </c>
      <c r="FY86" s="41">
        <v>1</v>
      </c>
      <c r="FZ86" s="41">
        <v>1</v>
      </c>
      <c r="GB86" s="145">
        <f t="shared" si="189"/>
        <v>1</v>
      </c>
      <c r="GC86" s="145">
        <v>20.83</v>
      </c>
      <c r="GD86" s="145">
        <v>21.38</v>
      </c>
      <c r="GE86" s="145">
        <v>21.38</v>
      </c>
      <c r="GF86" s="145">
        <v>21.47</v>
      </c>
      <c r="GG86" s="145">
        <v>21.92</v>
      </c>
      <c r="GH86" s="41">
        <v>21.83</v>
      </c>
      <c r="GI86" s="41">
        <v>1</v>
      </c>
      <c r="GJ86" s="41">
        <v>1</v>
      </c>
      <c r="GK86" s="41">
        <v>1</v>
      </c>
      <c r="GL86" s="41">
        <v>1</v>
      </c>
      <c r="GM86" s="41">
        <v>1</v>
      </c>
      <c r="GN86" s="41">
        <v>1</v>
      </c>
      <c r="GO86" s="41">
        <v>1</v>
      </c>
      <c r="GP86" s="41">
        <v>1</v>
      </c>
      <c r="GQ86" s="41">
        <v>1</v>
      </c>
      <c r="GR86" s="41">
        <v>1</v>
      </c>
      <c r="GS86" s="41">
        <v>1</v>
      </c>
      <c r="GT86" s="41">
        <v>1</v>
      </c>
      <c r="GU86" s="41">
        <v>1</v>
      </c>
      <c r="GV86" s="41">
        <v>1</v>
      </c>
      <c r="GW86" s="41">
        <v>1</v>
      </c>
      <c r="GX86" s="41">
        <v>1</v>
      </c>
      <c r="GY86" s="41">
        <v>1</v>
      </c>
      <c r="GZ86" s="41">
        <v>1</v>
      </c>
      <c r="HA86" s="41">
        <v>1</v>
      </c>
      <c r="HB86" s="41">
        <v>1</v>
      </c>
      <c r="HC86" s="41">
        <v>1</v>
      </c>
      <c r="HD86" s="41">
        <v>1</v>
      </c>
      <c r="HE86" s="41">
        <v>1</v>
      </c>
      <c r="HF86" s="41">
        <v>1</v>
      </c>
      <c r="HH86" s="373">
        <v>1</v>
      </c>
      <c r="HI86" s="218">
        <v>1.0900000000000001</v>
      </c>
      <c r="HJ86" s="229">
        <v>1.0900000000000001</v>
      </c>
      <c r="HK86" s="229">
        <v>1.0900000000000001</v>
      </c>
      <c r="HM86" s="373">
        <f t="shared" si="190"/>
        <v>1</v>
      </c>
      <c r="HN86" s="145">
        <v>1</v>
      </c>
    </row>
    <row r="87" spans="1:235" ht="12.75" hidden="1" customHeight="1" x14ac:dyDescent="0.2">
      <c r="A87" s="373">
        <f t="shared" si="183"/>
        <v>83</v>
      </c>
      <c r="B87" s="149" t="s">
        <v>172</v>
      </c>
      <c r="C87" s="150">
        <v>1.4770000000000001</v>
      </c>
      <c r="D87" s="150">
        <v>1.5469999999999999</v>
      </c>
      <c r="E87" s="150">
        <v>1.306</v>
      </c>
      <c r="F87" s="150">
        <v>1.2330000000000001</v>
      </c>
      <c r="G87" s="150"/>
      <c r="H87" s="226">
        <f ca="1">OFFSET($HH87,0,'Расчет стоимости'!$M$10,1,1)</f>
        <v>1.0900000000000001</v>
      </c>
      <c r="I87" s="150">
        <v>1</v>
      </c>
      <c r="J87" s="150">
        <v>1</v>
      </c>
      <c r="K87" s="149">
        <v>1</v>
      </c>
      <c r="L87" s="149">
        <v>1</v>
      </c>
      <c r="M87" s="372">
        <v>4.2999999999999997E-2</v>
      </c>
      <c r="N87" s="145">
        <v>3.7000000000000005E-2</v>
      </c>
      <c r="O87" s="145">
        <v>1.7000000000000001E-2</v>
      </c>
      <c r="P87" s="145">
        <v>5.5E-2</v>
      </c>
      <c r="Q87" s="145">
        <v>4.0000000000000001E-3</v>
      </c>
      <c r="R87" s="152" t="s">
        <v>242</v>
      </c>
      <c r="T87" s="225">
        <f t="shared" si="206"/>
        <v>1.06</v>
      </c>
      <c r="U87" s="225">
        <f t="shared" si="206"/>
        <v>1.06</v>
      </c>
      <c r="V87" s="225">
        <f t="shared" si="206"/>
        <v>1.06</v>
      </c>
      <c r="W87" s="225">
        <f t="shared" si="206"/>
        <v>1.06</v>
      </c>
      <c r="X87" s="145">
        <f t="shared" si="184"/>
        <v>1</v>
      </c>
      <c r="Y87" s="145">
        <v>7.21</v>
      </c>
      <c r="Z87" s="145">
        <v>7.16</v>
      </c>
      <c r="AA87" s="145">
        <v>7.16</v>
      </c>
      <c r="AB87" s="145">
        <v>7.19</v>
      </c>
      <c r="AC87" s="145">
        <v>7.34</v>
      </c>
      <c r="AD87" s="41">
        <v>7.31</v>
      </c>
      <c r="AE87" s="41">
        <v>1</v>
      </c>
      <c r="AF87" s="41">
        <v>1</v>
      </c>
      <c r="AG87" s="41">
        <v>1</v>
      </c>
      <c r="AH87" s="41">
        <v>1</v>
      </c>
      <c r="AI87" s="41">
        <v>1</v>
      </c>
      <c r="AJ87" s="41">
        <v>1</v>
      </c>
      <c r="AK87" s="41">
        <v>1</v>
      </c>
      <c r="AL87" s="41">
        <v>1</v>
      </c>
      <c r="AM87" s="41">
        <v>1</v>
      </c>
      <c r="AN87" s="41">
        <v>1</v>
      </c>
      <c r="AO87" s="41">
        <v>1</v>
      </c>
      <c r="AP87" s="41">
        <v>1</v>
      </c>
      <c r="AQ87" s="41">
        <v>1</v>
      </c>
      <c r="AR87" s="41">
        <v>1</v>
      </c>
      <c r="AS87" s="41">
        <v>1</v>
      </c>
      <c r="AT87" s="41">
        <v>1</v>
      </c>
      <c r="AU87" s="41">
        <v>1</v>
      </c>
      <c r="AV87" s="41">
        <v>1</v>
      </c>
      <c r="AW87" s="41">
        <v>1</v>
      </c>
      <c r="AX87" s="41">
        <v>1</v>
      </c>
      <c r="AY87" s="41">
        <v>1</v>
      </c>
      <c r="AZ87" s="41">
        <v>1</v>
      </c>
      <c r="BA87" s="41">
        <v>1</v>
      </c>
      <c r="BB87" s="41">
        <v>1</v>
      </c>
      <c r="BD87" s="145">
        <f t="shared" si="185"/>
        <v>1</v>
      </c>
      <c r="BE87" s="145">
        <v>4.7300000000000004</v>
      </c>
      <c r="BF87" s="145">
        <v>4.82</v>
      </c>
      <c r="BG87" s="145">
        <v>4.82</v>
      </c>
      <c r="BH87" s="145">
        <v>4.84</v>
      </c>
      <c r="BI87" s="145">
        <v>4.9000000000000004</v>
      </c>
      <c r="BJ87" s="41">
        <v>4.88</v>
      </c>
      <c r="BK87" s="41">
        <v>1</v>
      </c>
      <c r="BL87" s="41">
        <v>1</v>
      </c>
      <c r="BM87" s="41">
        <v>1</v>
      </c>
      <c r="BN87" s="41">
        <v>1</v>
      </c>
      <c r="BO87" s="41">
        <v>1</v>
      </c>
      <c r="BP87" s="41">
        <v>1</v>
      </c>
      <c r="BQ87" s="41">
        <v>1</v>
      </c>
      <c r="BR87" s="41">
        <v>1</v>
      </c>
      <c r="BS87" s="41">
        <v>1</v>
      </c>
      <c r="BT87" s="41">
        <v>1</v>
      </c>
      <c r="BU87" s="41">
        <v>1</v>
      </c>
      <c r="BV87" s="41">
        <v>1</v>
      </c>
      <c r="BW87" s="41">
        <v>1</v>
      </c>
      <c r="BX87" s="41">
        <v>1</v>
      </c>
      <c r="BY87" s="41">
        <v>1</v>
      </c>
      <c r="BZ87" s="41">
        <v>1</v>
      </c>
      <c r="CA87" s="41">
        <v>1</v>
      </c>
      <c r="CB87" s="41">
        <v>1</v>
      </c>
      <c r="CC87" s="41">
        <v>1</v>
      </c>
      <c r="CD87" s="41">
        <v>1</v>
      </c>
      <c r="CE87" s="41">
        <v>1</v>
      </c>
      <c r="CF87" s="41">
        <v>1</v>
      </c>
      <c r="CG87" s="41">
        <v>1</v>
      </c>
      <c r="CH87" s="41">
        <v>1</v>
      </c>
      <c r="CJ87" s="145">
        <f t="shared" si="186"/>
        <v>1</v>
      </c>
      <c r="CK87" s="145">
        <v>3.55</v>
      </c>
      <c r="CL87" s="145">
        <v>3.64</v>
      </c>
      <c r="CM87" s="145">
        <v>3.64</v>
      </c>
      <c r="CN87" s="145">
        <v>3.65</v>
      </c>
      <c r="CO87" s="145">
        <v>3.73</v>
      </c>
      <c r="CP87" s="41">
        <v>3.72</v>
      </c>
      <c r="CQ87" s="41">
        <v>1</v>
      </c>
      <c r="CR87" s="41">
        <v>1</v>
      </c>
      <c r="CS87" s="41">
        <v>1</v>
      </c>
      <c r="CT87" s="41">
        <v>1</v>
      </c>
      <c r="CU87" s="41">
        <v>1</v>
      </c>
      <c r="CV87" s="41">
        <v>1</v>
      </c>
      <c r="CW87" s="41">
        <v>1</v>
      </c>
      <c r="CX87" s="41">
        <v>1</v>
      </c>
      <c r="CY87" s="41">
        <v>1</v>
      </c>
      <c r="CZ87" s="41">
        <v>1</v>
      </c>
      <c r="DA87" s="41">
        <v>1</v>
      </c>
      <c r="DB87" s="41">
        <v>1</v>
      </c>
      <c r="DC87" s="41">
        <v>1</v>
      </c>
      <c r="DD87" s="41">
        <v>1</v>
      </c>
      <c r="DE87" s="41">
        <v>1</v>
      </c>
      <c r="DF87" s="41">
        <v>1</v>
      </c>
      <c r="DG87" s="41">
        <v>1</v>
      </c>
      <c r="DH87" s="41">
        <v>1</v>
      </c>
      <c r="DI87" s="41">
        <v>1</v>
      </c>
      <c r="DJ87" s="41">
        <v>1</v>
      </c>
      <c r="DK87" s="41">
        <v>1</v>
      </c>
      <c r="DL87" s="41">
        <v>1</v>
      </c>
      <c r="DM87" s="41">
        <v>1</v>
      </c>
      <c r="DN87" s="41">
        <v>1</v>
      </c>
      <c r="DP87" s="145">
        <f t="shared" si="187"/>
        <v>1</v>
      </c>
      <c r="DQ87" s="145">
        <v>5.72</v>
      </c>
      <c r="DR87" s="145">
        <v>5.84</v>
      </c>
      <c r="DS87" s="145">
        <v>5.84</v>
      </c>
      <c r="DT87" s="145">
        <v>5.86</v>
      </c>
      <c r="DU87" s="145">
        <v>5.93</v>
      </c>
      <c r="DV87" s="41">
        <v>5.91</v>
      </c>
      <c r="DW87" s="41">
        <v>1</v>
      </c>
      <c r="DX87" s="41">
        <v>1</v>
      </c>
      <c r="DY87" s="41">
        <v>1</v>
      </c>
      <c r="DZ87" s="41">
        <v>1</v>
      </c>
      <c r="EA87" s="41">
        <v>1</v>
      </c>
      <c r="EB87" s="41">
        <v>1</v>
      </c>
      <c r="EC87" s="41">
        <v>1</v>
      </c>
      <c r="ED87" s="41">
        <v>1</v>
      </c>
      <c r="EE87" s="41">
        <v>1</v>
      </c>
      <c r="EF87" s="41">
        <v>1</v>
      </c>
      <c r="EG87" s="41">
        <v>1</v>
      </c>
      <c r="EH87" s="41">
        <v>1</v>
      </c>
      <c r="EI87" s="41">
        <v>1</v>
      </c>
      <c r="EJ87" s="41">
        <v>1</v>
      </c>
      <c r="EK87" s="41">
        <v>1</v>
      </c>
      <c r="EL87" s="41">
        <v>1</v>
      </c>
      <c r="EM87" s="41">
        <v>1</v>
      </c>
      <c r="EN87" s="41">
        <v>1</v>
      </c>
      <c r="EO87" s="41">
        <v>1</v>
      </c>
      <c r="EP87" s="41">
        <v>1</v>
      </c>
      <c r="EQ87" s="41">
        <v>1</v>
      </c>
      <c r="ER87" s="41">
        <v>1</v>
      </c>
      <c r="ES87" s="41">
        <v>1</v>
      </c>
      <c r="ET87" s="41">
        <v>1</v>
      </c>
      <c r="EV87" s="145">
        <f t="shared" si="188"/>
        <v>1</v>
      </c>
      <c r="EW87" s="145">
        <v>3.58</v>
      </c>
      <c r="EX87" s="145">
        <v>3.67</v>
      </c>
      <c r="EY87" s="145">
        <v>3.67</v>
      </c>
      <c r="EZ87" s="145">
        <v>3.68</v>
      </c>
      <c r="FA87" s="145">
        <v>3.76</v>
      </c>
      <c r="FB87" s="41">
        <v>3.74</v>
      </c>
      <c r="FC87" s="41">
        <v>1</v>
      </c>
      <c r="FD87" s="41">
        <v>1</v>
      </c>
      <c r="FE87" s="41">
        <v>1</v>
      </c>
      <c r="FF87" s="41">
        <v>1</v>
      </c>
      <c r="FG87" s="41">
        <v>1</v>
      </c>
      <c r="FH87" s="41">
        <v>1</v>
      </c>
      <c r="FI87" s="41">
        <v>1</v>
      </c>
      <c r="FJ87" s="41">
        <v>1</v>
      </c>
      <c r="FK87" s="41">
        <v>1</v>
      </c>
      <c r="FL87" s="41">
        <v>1</v>
      </c>
      <c r="FM87" s="41">
        <v>1</v>
      </c>
      <c r="FN87" s="41">
        <v>1</v>
      </c>
      <c r="FO87" s="41">
        <v>1</v>
      </c>
      <c r="FP87" s="41">
        <v>1</v>
      </c>
      <c r="FQ87" s="41">
        <v>1</v>
      </c>
      <c r="FR87" s="41">
        <v>1</v>
      </c>
      <c r="FS87" s="41">
        <v>1</v>
      </c>
      <c r="FT87" s="41">
        <v>1</v>
      </c>
      <c r="FU87" s="41">
        <v>1</v>
      </c>
      <c r="FV87" s="41">
        <v>1</v>
      </c>
      <c r="FW87" s="41">
        <v>1</v>
      </c>
      <c r="FX87" s="41">
        <v>1</v>
      </c>
      <c r="FY87" s="41">
        <v>1</v>
      </c>
      <c r="FZ87" s="41">
        <v>1</v>
      </c>
      <c r="GB87" s="145">
        <f t="shared" si="189"/>
        <v>1</v>
      </c>
      <c r="GC87" s="145">
        <v>14.01</v>
      </c>
      <c r="GD87" s="145">
        <v>13.92</v>
      </c>
      <c r="GE87" s="145">
        <v>13.92</v>
      </c>
      <c r="GF87" s="145">
        <v>13.98</v>
      </c>
      <c r="GG87" s="145">
        <v>14.1</v>
      </c>
      <c r="GH87" s="41">
        <v>14.04</v>
      </c>
      <c r="GI87" s="41">
        <v>1</v>
      </c>
      <c r="GJ87" s="41">
        <v>1</v>
      </c>
      <c r="GK87" s="41">
        <v>1</v>
      </c>
      <c r="GL87" s="41">
        <v>1</v>
      </c>
      <c r="GM87" s="41">
        <v>1</v>
      </c>
      <c r="GN87" s="41">
        <v>1</v>
      </c>
      <c r="GO87" s="41">
        <v>1</v>
      </c>
      <c r="GP87" s="41">
        <v>1</v>
      </c>
      <c r="GQ87" s="41">
        <v>1</v>
      </c>
      <c r="GR87" s="41">
        <v>1</v>
      </c>
      <c r="GS87" s="41">
        <v>1</v>
      </c>
      <c r="GT87" s="41">
        <v>1</v>
      </c>
      <c r="GU87" s="41">
        <v>1</v>
      </c>
      <c r="GV87" s="41">
        <v>1</v>
      </c>
      <c r="GW87" s="41">
        <v>1</v>
      </c>
      <c r="GX87" s="41">
        <v>1</v>
      </c>
      <c r="GY87" s="41">
        <v>1</v>
      </c>
      <c r="GZ87" s="41">
        <v>1</v>
      </c>
      <c r="HA87" s="41">
        <v>1</v>
      </c>
      <c r="HB87" s="41">
        <v>1</v>
      </c>
      <c r="HC87" s="41">
        <v>1</v>
      </c>
      <c r="HD87" s="41">
        <v>1</v>
      </c>
      <c r="HE87" s="41">
        <v>1</v>
      </c>
      <c r="HF87" s="41">
        <v>1</v>
      </c>
      <c r="HH87" s="373">
        <v>1</v>
      </c>
      <c r="HI87" s="218">
        <v>1.0900000000000001</v>
      </c>
      <c r="HJ87" s="229">
        <v>1.0900000000000001</v>
      </c>
      <c r="HK87" s="229">
        <v>1.0900000000000001</v>
      </c>
      <c r="HM87" s="373">
        <f t="shared" si="190"/>
        <v>6</v>
      </c>
      <c r="HN87" s="145">
        <v>1</v>
      </c>
      <c r="HO87" s="219">
        <v>1.02</v>
      </c>
      <c r="HP87" s="219">
        <v>1.04</v>
      </c>
      <c r="HQ87" s="219">
        <v>1.06</v>
      </c>
      <c r="HR87" s="219">
        <v>1.0900000000000001</v>
      </c>
      <c r="HS87" s="219">
        <v>1.1200000000000001</v>
      </c>
    </row>
    <row r="88" spans="1:235" hidden="1" x14ac:dyDescent="0.2">
      <c r="A88" s="373">
        <f t="shared" si="183"/>
        <v>84</v>
      </c>
      <c r="B88" s="149" t="s">
        <v>180</v>
      </c>
      <c r="C88" s="150">
        <v>4.08</v>
      </c>
      <c r="H88" s="226">
        <f ca="1">OFFSET($HH88,0,'Расчет стоимости'!$M$10,1,1)</f>
        <v>1.1299999999999999</v>
      </c>
      <c r="I88" s="150">
        <v>1</v>
      </c>
      <c r="J88" s="150">
        <v>1</v>
      </c>
      <c r="K88" s="149">
        <v>1</v>
      </c>
      <c r="L88" s="149">
        <v>1</v>
      </c>
      <c r="M88" s="372">
        <v>4.2999999999999997E-2</v>
      </c>
      <c r="N88" s="145">
        <v>3.7000000000000005E-2</v>
      </c>
      <c r="O88" s="145">
        <v>1.7000000000000001E-2</v>
      </c>
      <c r="P88" s="145">
        <v>5.5E-2</v>
      </c>
      <c r="Q88" s="145">
        <v>4.0000000000000001E-3</v>
      </c>
      <c r="R88" s="372" t="s">
        <v>242</v>
      </c>
      <c r="S88" s="145" t="s">
        <v>265</v>
      </c>
      <c r="T88" s="225">
        <f t="shared" si="206"/>
        <v>1.135</v>
      </c>
      <c r="U88" s="225">
        <f t="shared" si="206"/>
        <v>1.135</v>
      </c>
      <c r="V88" s="225">
        <f t="shared" si="206"/>
        <v>1.135</v>
      </c>
      <c r="W88" s="225">
        <f t="shared" si="206"/>
        <v>1.135</v>
      </c>
      <c r="X88" s="145">
        <f t="shared" si="184"/>
        <v>1</v>
      </c>
      <c r="Y88" s="145">
        <v>14.14</v>
      </c>
      <c r="Z88" s="145">
        <f>14.4</f>
        <v>14.4</v>
      </c>
      <c r="AA88" s="145">
        <v>14.4</v>
      </c>
      <c r="AB88" s="145">
        <v>14.46</v>
      </c>
      <c r="AC88" s="145">
        <v>14.59</v>
      </c>
      <c r="AD88" s="41">
        <v>14.53</v>
      </c>
      <c r="AE88" s="41">
        <v>1</v>
      </c>
      <c r="AF88" s="41">
        <v>1</v>
      </c>
      <c r="AG88" s="41">
        <v>1</v>
      </c>
      <c r="AH88" s="41">
        <v>1</v>
      </c>
      <c r="AI88" s="41">
        <v>1</v>
      </c>
      <c r="AJ88" s="41">
        <v>1</v>
      </c>
      <c r="AK88" s="41">
        <v>1</v>
      </c>
      <c r="AL88" s="41">
        <v>1</v>
      </c>
      <c r="AM88" s="41">
        <v>1</v>
      </c>
      <c r="AN88" s="41">
        <v>1</v>
      </c>
      <c r="AO88" s="41">
        <v>1</v>
      </c>
      <c r="AP88" s="41">
        <v>1</v>
      </c>
      <c r="AQ88" s="41">
        <v>1</v>
      </c>
      <c r="AR88" s="41">
        <v>1</v>
      </c>
      <c r="AS88" s="41">
        <v>1</v>
      </c>
      <c r="AT88" s="41">
        <v>1</v>
      </c>
      <c r="AU88" s="41">
        <v>1</v>
      </c>
      <c r="AV88" s="41">
        <v>1</v>
      </c>
      <c r="AW88" s="41">
        <v>1</v>
      </c>
      <c r="AX88" s="41">
        <v>1</v>
      </c>
      <c r="AY88" s="41">
        <v>1</v>
      </c>
      <c r="AZ88" s="41">
        <v>1</v>
      </c>
      <c r="BA88" s="41">
        <v>1</v>
      </c>
      <c r="BB88" s="41">
        <v>1</v>
      </c>
      <c r="BD88" s="145">
        <f t="shared" si="185"/>
        <v>1</v>
      </c>
      <c r="BE88" s="145">
        <v>6.62</v>
      </c>
      <c r="BF88" s="145">
        <f>6.8</f>
        <v>6.8</v>
      </c>
      <c r="BG88" s="145">
        <v>6.8</v>
      </c>
      <c r="BH88" s="145">
        <v>6.83</v>
      </c>
      <c r="BI88" s="145">
        <v>6.97</v>
      </c>
      <c r="BJ88" s="41">
        <v>6.94</v>
      </c>
      <c r="BK88" s="41">
        <v>1</v>
      </c>
      <c r="BL88" s="41">
        <v>1</v>
      </c>
      <c r="BM88" s="41">
        <v>1</v>
      </c>
      <c r="BN88" s="41">
        <v>1</v>
      </c>
      <c r="BO88" s="41">
        <v>1</v>
      </c>
      <c r="BP88" s="41">
        <v>1</v>
      </c>
      <c r="BQ88" s="41">
        <v>1</v>
      </c>
      <c r="BR88" s="41">
        <v>1</v>
      </c>
      <c r="BS88" s="41">
        <v>1</v>
      </c>
      <c r="BT88" s="41">
        <v>1</v>
      </c>
      <c r="BU88" s="41">
        <v>1</v>
      </c>
      <c r="BV88" s="41">
        <v>1</v>
      </c>
      <c r="BW88" s="41">
        <v>1</v>
      </c>
      <c r="BX88" s="41">
        <v>1</v>
      </c>
      <c r="BY88" s="41">
        <v>1</v>
      </c>
      <c r="BZ88" s="41">
        <v>1</v>
      </c>
      <c r="CA88" s="41">
        <v>1</v>
      </c>
      <c r="CB88" s="41">
        <v>1</v>
      </c>
      <c r="CC88" s="41">
        <v>1</v>
      </c>
      <c r="CD88" s="41">
        <v>1</v>
      </c>
      <c r="CE88" s="41">
        <v>1</v>
      </c>
      <c r="CF88" s="41">
        <v>1</v>
      </c>
      <c r="CG88" s="41">
        <v>1</v>
      </c>
      <c r="CH88" s="41">
        <v>1</v>
      </c>
      <c r="CJ88" s="145">
        <f t="shared" si="186"/>
        <v>1</v>
      </c>
      <c r="CK88" s="145">
        <v>6.42</v>
      </c>
      <c r="CL88" s="145">
        <v>6.59</v>
      </c>
      <c r="CM88" s="145">
        <v>6.59</v>
      </c>
      <c r="CN88" s="145">
        <v>6.62</v>
      </c>
      <c r="CO88" s="145">
        <v>6.76</v>
      </c>
      <c r="CP88" s="41">
        <v>6.73</v>
      </c>
      <c r="CQ88" s="41">
        <v>1</v>
      </c>
      <c r="CR88" s="41">
        <v>1</v>
      </c>
      <c r="CS88" s="41">
        <v>1</v>
      </c>
      <c r="CT88" s="41">
        <v>1</v>
      </c>
      <c r="CU88" s="41">
        <v>1</v>
      </c>
      <c r="CV88" s="41">
        <v>1</v>
      </c>
      <c r="CW88" s="41">
        <v>1</v>
      </c>
      <c r="CX88" s="41">
        <v>1</v>
      </c>
      <c r="CY88" s="41">
        <v>1</v>
      </c>
      <c r="CZ88" s="41">
        <v>1</v>
      </c>
      <c r="DA88" s="41">
        <v>1</v>
      </c>
      <c r="DB88" s="41">
        <v>1</v>
      </c>
      <c r="DC88" s="41">
        <v>1</v>
      </c>
      <c r="DD88" s="41">
        <v>1</v>
      </c>
      <c r="DE88" s="41">
        <v>1</v>
      </c>
      <c r="DF88" s="41">
        <v>1</v>
      </c>
      <c r="DG88" s="41">
        <v>1</v>
      </c>
      <c r="DH88" s="41">
        <v>1</v>
      </c>
      <c r="DI88" s="41">
        <v>1</v>
      </c>
      <c r="DJ88" s="41">
        <v>1</v>
      </c>
      <c r="DK88" s="41">
        <v>1</v>
      </c>
      <c r="DL88" s="41">
        <v>1</v>
      </c>
      <c r="DM88" s="41">
        <v>1</v>
      </c>
      <c r="DN88" s="41">
        <v>1</v>
      </c>
      <c r="DP88" s="145">
        <f t="shared" si="187"/>
        <v>1</v>
      </c>
      <c r="DQ88" s="145">
        <v>10.43</v>
      </c>
      <c r="DR88" s="145">
        <v>10.55</v>
      </c>
      <c r="DS88" s="145">
        <v>10.55</v>
      </c>
      <c r="DT88" s="145">
        <v>10.59</v>
      </c>
      <c r="DU88" s="145">
        <v>10.81</v>
      </c>
      <c r="DV88" s="41">
        <v>10.77</v>
      </c>
      <c r="DW88" s="41">
        <v>1</v>
      </c>
      <c r="DX88" s="41">
        <v>1</v>
      </c>
      <c r="DY88" s="41">
        <v>1</v>
      </c>
      <c r="DZ88" s="41">
        <v>1</v>
      </c>
      <c r="EA88" s="41">
        <v>1</v>
      </c>
      <c r="EB88" s="41">
        <v>1</v>
      </c>
      <c r="EC88" s="41">
        <v>1</v>
      </c>
      <c r="ED88" s="41">
        <v>1</v>
      </c>
      <c r="EE88" s="41">
        <v>1</v>
      </c>
      <c r="EF88" s="41">
        <v>1</v>
      </c>
      <c r="EG88" s="41">
        <v>1</v>
      </c>
      <c r="EH88" s="41">
        <v>1</v>
      </c>
      <c r="EI88" s="41">
        <v>1</v>
      </c>
      <c r="EJ88" s="41">
        <v>1</v>
      </c>
      <c r="EK88" s="41">
        <v>1</v>
      </c>
      <c r="EL88" s="41">
        <v>1</v>
      </c>
      <c r="EM88" s="41">
        <v>1</v>
      </c>
      <c r="EN88" s="41">
        <v>1</v>
      </c>
      <c r="EO88" s="41">
        <v>1</v>
      </c>
      <c r="EP88" s="41">
        <v>1</v>
      </c>
      <c r="EQ88" s="41">
        <v>1</v>
      </c>
      <c r="ER88" s="41">
        <v>1</v>
      </c>
      <c r="ES88" s="41">
        <v>1</v>
      </c>
      <c r="ET88" s="41">
        <v>1</v>
      </c>
      <c r="EV88" s="145">
        <f t="shared" si="188"/>
        <v>1</v>
      </c>
      <c r="EW88" s="145">
        <v>8.52</v>
      </c>
      <c r="EX88" s="145">
        <f>8.64</f>
        <v>8.64</v>
      </c>
      <c r="EY88" s="145">
        <v>8.64</v>
      </c>
      <c r="EZ88" s="145">
        <v>8.67</v>
      </c>
      <c r="FA88" s="145">
        <v>8.85</v>
      </c>
      <c r="FB88" s="41">
        <v>8.81</v>
      </c>
      <c r="FC88" s="41">
        <v>1</v>
      </c>
      <c r="FD88" s="41">
        <v>1</v>
      </c>
      <c r="FE88" s="41">
        <v>1</v>
      </c>
      <c r="FF88" s="41">
        <v>1</v>
      </c>
      <c r="FG88" s="41">
        <v>1</v>
      </c>
      <c r="FH88" s="41">
        <v>1</v>
      </c>
      <c r="FI88" s="41">
        <v>1</v>
      </c>
      <c r="FJ88" s="41">
        <v>1</v>
      </c>
      <c r="FK88" s="41">
        <v>1</v>
      </c>
      <c r="FL88" s="41">
        <v>1</v>
      </c>
      <c r="FM88" s="41">
        <v>1</v>
      </c>
      <c r="FN88" s="41">
        <v>1</v>
      </c>
      <c r="FO88" s="41">
        <v>1</v>
      </c>
      <c r="FP88" s="41">
        <v>1</v>
      </c>
      <c r="FQ88" s="41">
        <v>1</v>
      </c>
      <c r="FR88" s="41">
        <v>1</v>
      </c>
      <c r="FS88" s="41">
        <v>1</v>
      </c>
      <c r="FT88" s="41">
        <v>1</v>
      </c>
      <c r="FU88" s="41">
        <v>1</v>
      </c>
      <c r="FV88" s="41">
        <v>1</v>
      </c>
      <c r="FW88" s="41">
        <v>1</v>
      </c>
      <c r="FX88" s="41">
        <v>1</v>
      </c>
      <c r="FY88" s="41">
        <v>1</v>
      </c>
      <c r="FZ88" s="41">
        <v>1</v>
      </c>
      <c r="GB88" s="145">
        <f t="shared" si="189"/>
        <v>1</v>
      </c>
      <c r="GC88" s="145">
        <v>26.11</v>
      </c>
      <c r="GD88" s="145">
        <f>26.8</f>
        <v>26.8</v>
      </c>
      <c r="GE88" s="145">
        <v>26.8</v>
      </c>
      <c r="GF88" s="145">
        <v>26.91</v>
      </c>
      <c r="GG88" s="145">
        <v>27.48</v>
      </c>
      <c r="GH88" s="41">
        <v>27.37</v>
      </c>
      <c r="GI88" s="41">
        <v>1</v>
      </c>
      <c r="GJ88" s="41">
        <v>1</v>
      </c>
      <c r="GK88" s="41">
        <v>1</v>
      </c>
      <c r="GL88" s="41">
        <v>1</v>
      </c>
      <c r="GM88" s="41">
        <v>1</v>
      </c>
      <c r="GN88" s="41">
        <v>1</v>
      </c>
      <c r="GO88" s="41">
        <v>1</v>
      </c>
      <c r="GP88" s="41">
        <v>1</v>
      </c>
      <c r="GQ88" s="41">
        <v>1</v>
      </c>
      <c r="GR88" s="41">
        <v>1</v>
      </c>
      <c r="GS88" s="41">
        <v>1</v>
      </c>
      <c r="GT88" s="41">
        <v>1</v>
      </c>
      <c r="GU88" s="41">
        <v>1</v>
      </c>
      <c r="GV88" s="41">
        <v>1</v>
      </c>
      <c r="GW88" s="41">
        <v>1</v>
      </c>
      <c r="GX88" s="41">
        <v>1</v>
      </c>
      <c r="GY88" s="41">
        <v>1</v>
      </c>
      <c r="GZ88" s="41">
        <v>1</v>
      </c>
      <c r="HA88" s="41">
        <v>1</v>
      </c>
      <c r="HB88" s="41">
        <v>1</v>
      </c>
      <c r="HC88" s="41">
        <v>1</v>
      </c>
      <c r="HD88" s="41">
        <v>1</v>
      </c>
      <c r="HE88" s="41">
        <v>1</v>
      </c>
      <c r="HF88" s="41">
        <v>1</v>
      </c>
      <c r="HH88" s="373">
        <v>2</v>
      </c>
      <c r="HI88" s="218">
        <v>1.0900000000000001</v>
      </c>
      <c r="HJ88" s="41">
        <v>1.1299999999999999</v>
      </c>
      <c r="HK88" s="41">
        <v>1.1299999999999999</v>
      </c>
      <c r="HM88" s="373">
        <f t="shared" si="190"/>
        <v>8</v>
      </c>
      <c r="HN88" s="145">
        <v>1</v>
      </c>
      <c r="HO88" s="219">
        <v>1.04</v>
      </c>
      <c r="HP88" s="219">
        <v>1.0780000000000001</v>
      </c>
      <c r="HQ88" s="219">
        <v>1.135</v>
      </c>
      <c r="HR88" s="219">
        <v>1.1879999999999999</v>
      </c>
      <c r="HS88" s="219">
        <v>1.2410000000000001</v>
      </c>
      <c r="HT88" s="219">
        <v>1.3460000000000001</v>
      </c>
      <c r="HU88" s="219">
        <v>1.4410000000000001</v>
      </c>
    </row>
    <row r="89" spans="1:235" hidden="1" x14ac:dyDescent="0.2">
      <c r="A89" s="373">
        <f t="shared" si="183"/>
        <v>85</v>
      </c>
      <c r="B89" s="149" t="s">
        <v>321</v>
      </c>
      <c r="C89" s="150">
        <v>1</v>
      </c>
      <c r="H89" s="150">
        <v>1</v>
      </c>
      <c r="I89" s="151">
        <v>1</v>
      </c>
      <c r="J89" s="151">
        <v>1</v>
      </c>
      <c r="K89" s="151">
        <v>1</v>
      </c>
      <c r="L89" s="151">
        <v>1</v>
      </c>
      <c r="M89" s="372">
        <v>0</v>
      </c>
      <c r="N89" s="145">
        <v>0</v>
      </c>
      <c r="O89" s="145">
        <v>0</v>
      </c>
      <c r="P89" s="145">
        <v>0</v>
      </c>
      <c r="Q89" s="145">
        <v>0</v>
      </c>
      <c r="R89" s="152" t="s">
        <v>239</v>
      </c>
      <c r="T89" s="225">
        <f t="shared" si="206"/>
        <v>1</v>
      </c>
      <c r="U89" s="225">
        <f t="shared" si="206"/>
        <v>1</v>
      </c>
      <c r="V89" s="225">
        <f t="shared" si="206"/>
        <v>1</v>
      </c>
      <c r="W89" s="225">
        <f t="shared" si="206"/>
        <v>1</v>
      </c>
      <c r="X89" s="145">
        <f t="shared" si="184"/>
        <v>1</v>
      </c>
      <c r="Y89" s="145">
        <v>1</v>
      </c>
      <c r="Z89" s="145">
        <v>1</v>
      </c>
      <c r="AA89" s="145">
        <v>1</v>
      </c>
      <c r="AB89" s="145">
        <v>1</v>
      </c>
      <c r="AC89" s="145">
        <v>1</v>
      </c>
      <c r="AD89" s="41">
        <v>5.48</v>
      </c>
      <c r="AE89" s="41">
        <v>1</v>
      </c>
      <c r="AF89" s="41">
        <v>1</v>
      </c>
      <c r="AG89" s="41">
        <v>1</v>
      </c>
      <c r="AH89" s="41">
        <v>1</v>
      </c>
      <c r="AI89" s="41">
        <v>1</v>
      </c>
      <c r="AJ89" s="41">
        <v>1</v>
      </c>
      <c r="AK89" s="41">
        <v>1</v>
      </c>
      <c r="AL89" s="41">
        <v>1</v>
      </c>
      <c r="AM89" s="41">
        <v>1</v>
      </c>
      <c r="AN89" s="41">
        <v>1</v>
      </c>
      <c r="AO89" s="41">
        <v>1</v>
      </c>
      <c r="AP89" s="41">
        <v>1</v>
      </c>
      <c r="AQ89" s="41">
        <v>1</v>
      </c>
      <c r="AR89" s="41">
        <v>1</v>
      </c>
      <c r="AS89" s="41">
        <v>1</v>
      </c>
      <c r="AT89" s="41">
        <v>1</v>
      </c>
      <c r="AU89" s="41">
        <v>1</v>
      </c>
      <c r="AV89" s="41">
        <v>1</v>
      </c>
      <c r="AW89" s="41">
        <v>1</v>
      </c>
      <c r="AX89" s="41">
        <v>1</v>
      </c>
      <c r="AY89" s="41">
        <v>1</v>
      </c>
      <c r="AZ89" s="41">
        <v>1</v>
      </c>
      <c r="BA89" s="41">
        <v>1</v>
      </c>
      <c r="BB89" s="41">
        <v>1</v>
      </c>
      <c r="BD89" s="145">
        <f t="shared" si="185"/>
        <v>1</v>
      </c>
      <c r="BE89" s="145">
        <v>1</v>
      </c>
      <c r="BF89" s="145">
        <v>1</v>
      </c>
      <c r="BG89" s="145">
        <v>1</v>
      </c>
      <c r="BH89" s="145">
        <v>1</v>
      </c>
      <c r="BI89" s="145">
        <v>1</v>
      </c>
      <c r="BJ89" s="41">
        <v>3.56</v>
      </c>
      <c r="BK89" s="41">
        <v>1</v>
      </c>
      <c r="BL89" s="41">
        <v>1</v>
      </c>
      <c r="BM89" s="41">
        <v>1</v>
      </c>
      <c r="BN89" s="41">
        <v>1</v>
      </c>
      <c r="BO89" s="41">
        <v>1</v>
      </c>
      <c r="BP89" s="41">
        <v>1</v>
      </c>
      <c r="BQ89" s="41">
        <v>1</v>
      </c>
      <c r="BR89" s="41">
        <v>1</v>
      </c>
      <c r="BS89" s="41">
        <v>1</v>
      </c>
      <c r="BT89" s="41">
        <v>1</v>
      </c>
      <c r="BU89" s="41">
        <v>1</v>
      </c>
      <c r="BV89" s="41">
        <v>1</v>
      </c>
      <c r="BW89" s="41">
        <v>1</v>
      </c>
      <c r="BX89" s="41">
        <v>1</v>
      </c>
      <c r="BY89" s="41">
        <v>1</v>
      </c>
      <c r="BZ89" s="41">
        <v>1</v>
      </c>
      <c r="CA89" s="41">
        <v>1</v>
      </c>
      <c r="CB89" s="41">
        <v>1</v>
      </c>
      <c r="CC89" s="41">
        <v>1</v>
      </c>
      <c r="CD89" s="41">
        <v>1</v>
      </c>
      <c r="CE89" s="41">
        <v>1</v>
      </c>
      <c r="CF89" s="41">
        <v>1</v>
      </c>
      <c r="CG89" s="41">
        <v>1</v>
      </c>
      <c r="CH89" s="41">
        <v>1</v>
      </c>
      <c r="CJ89" s="145">
        <f t="shared" si="186"/>
        <v>1</v>
      </c>
      <c r="CK89" s="145">
        <v>1</v>
      </c>
      <c r="CL89" s="145">
        <v>1</v>
      </c>
      <c r="CM89" s="145">
        <v>1</v>
      </c>
      <c r="CN89" s="145">
        <v>1</v>
      </c>
      <c r="CO89" s="145">
        <v>1</v>
      </c>
      <c r="CP89" s="41">
        <v>3.93</v>
      </c>
      <c r="CQ89" s="41">
        <v>1</v>
      </c>
      <c r="CR89" s="41">
        <v>1</v>
      </c>
      <c r="CS89" s="41">
        <v>1</v>
      </c>
      <c r="CT89" s="41">
        <v>1</v>
      </c>
      <c r="CU89" s="41">
        <v>1</v>
      </c>
      <c r="CV89" s="41">
        <v>1</v>
      </c>
      <c r="CW89" s="41">
        <v>1</v>
      </c>
      <c r="CX89" s="41">
        <v>1</v>
      </c>
      <c r="CY89" s="41">
        <v>1</v>
      </c>
      <c r="CZ89" s="41">
        <v>1</v>
      </c>
      <c r="DA89" s="41">
        <v>1</v>
      </c>
      <c r="DB89" s="41">
        <v>1</v>
      </c>
      <c r="DC89" s="41">
        <v>1</v>
      </c>
      <c r="DD89" s="41">
        <v>1</v>
      </c>
      <c r="DE89" s="41">
        <v>1</v>
      </c>
      <c r="DF89" s="41">
        <v>1</v>
      </c>
      <c r="DG89" s="41">
        <v>1</v>
      </c>
      <c r="DH89" s="41">
        <v>1</v>
      </c>
      <c r="DI89" s="41">
        <v>1</v>
      </c>
      <c r="DJ89" s="41">
        <v>1</v>
      </c>
      <c r="DK89" s="41">
        <v>1</v>
      </c>
      <c r="DL89" s="41">
        <v>1</v>
      </c>
      <c r="DM89" s="41">
        <v>1</v>
      </c>
      <c r="DN89" s="41">
        <v>1</v>
      </c>
      <c r="DP89" s="145">
        <f t="shared" si="187"/>
        <v>1</v>
      </c>
      <c r="DQ89" s="145">
        <v>1</v>
      </c>
      <c r="DR89" s="145">
        <v>1</v>
      </c>
      <c r="DS89" s="145">
        <v>1</v>
      </c>
      <c r="DT89" s="145">
        <v>1</v>
      </c>
      <c r="DU89" s="145">
        <v>1</v>
      </c>
      <c r="DV89" s="41">
        <v>4.28</v>
      </c>
      <c r="DW89" s="41">
        <v>1</v>
      </c>
      <c r="DX89" s="41">
        <v>1</v>
      </c>
      <c r="DY89" s="41">
        <v>1</v>
      </c>
      <c r="DZ89" s="41">
        <v>1</v>
      </c>
      <c r="EA89" s="41">
        <v>1</v>
      </c>
      <c r="EB89" s="41">
        <v>1</v>
      </c>
      <c r="EC89" s="41">
        <v>1</v>
      </c>
      <c r="ED89" s="41">
        <v>1</v>
      </c>
      <c r="EE89" s="41">
        <v>1</v>
      </c>
      <c r="EF89" s="41">
        <v>1</v>
      </c>
      <c r="EG89" s="41">
        <v>1</v>
      </c>
      <c r="EH89" s="41">
        <v>1</v>
      </c>
      <c r="EI89" s="41">
        <v>1</v>
      </c>
      <c r="EJ89" s="41">
        <v>1</v>
      </c>
      <c r="EK89" s="41">
        <v>1</v>
      </c>
      <c r="EL89" s="41">
        <v>1</v>
      </c>
      <c r="EM89" s="41">
        <v>1</v>
      </c>
      <c r="EN89" s="41">
        <v>1</v>
      </c>
      <c r="EO89" s="41">
        <v>1</v>
      </c>
      <c r="EP89" s="41">
        <v>1</v>
      </c>
      <c r="EQ89" s="41">
        <v>1</v>
      </c>
      <c r="ER89" s="41">
        <v>1</v>
      </c>
      <c r="ES89" s="41">
        <v>1</v>
      </c>
      <c r="ET89" s="41">
        <v>1</v>
      </c>
      <c r="EV89" s="145">
        <f t="shared" si="188"/>
        <v>1</v>
      </c>
      <c r="EW89" s="145">
        <v>1</v>
      </c>
      <c r="EX89" s="145">
        <v>1</v>
      </c>
      <c r="EY89" s="145">
        <v>1</v>
      </c>
      <c r="EZ89" s="145">
        <v>1</v>
      </c>
      <c r="FA89" s="145">
        <v>1</v>
      </c>
      <c r="FB89" s="41">
        <v>4.41</v>
      </c>
      <c r="FC89" s="41">
        <v>1</v>
      </c>
      <c r="FD89" s="41">
        <v>1</v>
      </c>
      <c r="FE89" s="41">
        <v>1</v>
      </c>
      <c r="FF89" s="41">
        <v>1</v>
      </c>
      <c r="FG89" s="41">
        <v>1</v>
      </c>
      <c r="FH89" s="41">
        <v>1</v>
      </c>
      <c r="FI89" s="41">
        <v>1</v>
      </c>
      <c r="FJ89" s="41">
        <v>1</v>
      </c>
      <c r="FK89" s="41">
        <v>1</v>
      </c>
      <c r="FL89" s="41">
        <v>1</v>
      </c>
      <c r="FM89" s="41">
        <v>1</v>
      </c>
      <c r="FN89" s="41">
        <v>1</v>
      </c>
      <c r="FO89" s="41">
        <v>1</v>
      </c>
      <c r="FP89" s="41">
        <v>1</v>
      </c>
      <c r="FQ89" s="41">
        <v>1</v>
      </c>
      <c r="FR89" s="41">
        <v>1</v>
      </c>
      <c r="FS89" s="41">
        <v>1</v>
      </c>
      <c r="FT89" s="41">
        <v>1</v>
      </c>
      <c r="FU89" s="41">
        <v>1</v>
      </c>
      <c r="FV89" s="41">
        <v>1</v>
      </c>
      <c r="FW89" s="41">
        <v>1</v>
      </c>
      <c r="FX89" s="41">
        <v>1</v>
      </c>
      <c r="FY89" s="41">
        <v>1</v>
      </c>
      <c r="FZ89" s="41">
        <v>1</v>
      </c>
      <c r="GB89" s="145">
        <f t="shared" si="189"/>
        <v>1</v>
      </c>
      <c r="GC89" s="145">
        <v>1</v>
      </c>
      <c r="GD89" s="145">
        <v>1</v>
      </c>
      <c r="GE89" s="145">
        <v>1</v>
      </c>
      <c r="GF89" s="145">
        <v>1</v>
      </c>
      <c r="GG89" s="145">
        <v>1</v>
      </c>
      <c r="GH89" s="41">
        <v>11.63</v>
      </c>
      <c r="GI89" s="41">
        <v>1</v>
      </c>
      <c r="GJ89" s="41">
        <v>1</v>
      </c>
      <c r="GK89" s="41">
        <v>1</v>
      </c>
      <c r="GL89" s="41">
        <v>1</v>
      </c>
      <c r="GM89" s="41">
        <v>1</v>
      </c>
      <c r="GN89" s="41">
        <v>1</v>
      </c>
      <c r="GO89" s="41">
        <v>1</v>
      </c>
      <c r="GP89" s="41">
        <v>1</v>
      </c>
      <c r="GQ89" s="41">
        <v>1</v>
      </c>
      <c r="GR89" s="41">
        <v>1</v>
      </c>
      <c r="GS89" s="41">
        <v>1</v>
      </c>
      <c r="GT89" s="41">
        <v>1</v>
      </c>
      <c r="GU89" s="41">
        <v>1</v>
      </c>
      <c r="GV89" s="41">
        <v>1</v>
      </c>
      <c r="GW89" s="41">
        <v>1</v>
      </c>
      <c r="GX89" s="41">
        <v>1</v>
      </c>
      <c r="GY89" s="41">
        <v>1</v>
      </c>
      <c r="GZ89" s="41">
        <v>1</v>
      </c>
      <c r="HA89" s="41">
        <v>1</v>
      </c>
      <c r="HB89" s="41">
        <v>1</v>
      </c>
      <c r="HC89" s="41">
        <v>1</v>
      </c>
      <c r="HD89" s="41">
        <v>1</v>
      </c>
      <c r="HE89" s="41">
        <v>1</v>
      </c>
      <c r="HF89" s="41">
        <v>1</v>
      </c>
      <c r="HH89" s="373">
        <v>1</v>
      </c>
      <c r="HI89" s="218">
        <v>1</v>
      </c>
      <c r="HJ89" s="229">
        <v>1</v>
      </c>
      <c r="HK89" s="229">
        <v>1</v>
      </c>
      <c r="HM89" s="373">
        <f t="shared" si="190"/>
        <v>1</v>
      </c>
      <c r="HN89" s="145">
        <v>1</v>
      </c>
    </row>
    <row r="90" spans="1:235" hidden="1" x14ac:dyDescent="0.2">
      <c r="A90" s="373">
        <f t="shared" si="183"/>
        <v>86</v>
      </c>
      <c r="B90" s="149" t="s">
        <v>322</v>
      </c>
      <c r="C90" s="150">
        <v>1</v>
      </c>
      <c r="H90" s="150">
        <v>1</v>
      </c>
      <c r="I90" s="151">
        <v>1</v>
      </c>
      <c r="J90" s="151">
        <v>1</v>
      </c>
      <c r="K90" s="151">
        <v>1</v>
      </c>
      <c r="L90" s="151">
        <v>1</v>
      </c>
      <c r="M90" s="372">
        <v>0</v>
      </c>
      <c r="N90" s="145">
        <v>0</v>
      </c>
      <c r="O90" s="145">
        <v>0</v>
      </c>
      <c r="P90" s="145">
        <v>0</v>
      </c>
      <c r="Q90" s="145">
        <v>0</v>
      </c>
      <c r="R90" s="152" t="s">
        <v>239</v>
      </c>
      <c r="T90" s="225">
        <f t="shared" si="206"/>
        <v>1</v>
      </c>
      <c r="U90" s="225">
        <f t="shared" si="206"/>
        <v>1</v>
      </c>
      <c r="V90" s="225">
        <f t="shared" si="206"/>
        <v>1</v>
      </c>
      <c r="W90" s="225">
        <f t="shared" si="206"/>
        <v>1</v>
      </c>
      <c r="X90" s="145">
        <f t="shared" si="184"/>
        <v>1</v>
      </c>
      <c r="Y90" s="145">
        <v>1</v>
      </c>
      <c r="Z90" s="145">
        <v>1</v>
      </c>
      <c r="AA90" s="145">
        <v>1</v>
      </c>
      <c r="AB90" s="145">
        <v>1</v>
      </c>
      <c r="AC90" s="145">
        <v>1</v>
      </c>
      <c r="AD90" s="41">
        <v>5.48</v>
      </c>
      <c r="AE90" s="41">
        <v>1</v>
      </c>
      <c r="AF90" s="41">
        <v>1</v>
      </c>
      <c r="AG90" s="41">
        <v>1</v>
      </c>
      <c r="AH90" s="41">
        <v>1</v>
      </c>
      <c r="AI90" s="41">
        <v>1</v>
      </c>
      <c r="AJ90" s="41">
        <v>1</v>
      </c>
      <c r="AK90" s="41">
        <v>1</v>
      </c>
      <c r="AL90" s="41">
        <v>1</v>
      </c>
      <c r="AM90" s="41">
        <v>1</v>
      </c>
      <c r="AN90" s="41">
        <v>1</v>
      </c>
      <c r="AO90" s="41">
        <v>1</v>
      </c>
      <c r="AP90" s="41">
        <v>1</v>
      </c>
      <c r="AQ90" s="41">
        <v>1</v>
      </c>
      <c r="AR90" s="41">
        <v>1</v>
      </c>
      <c r="AS90" s="41">
        <v>1</v>
      </c>
      <c r="AT90" s="41">
        <v>1</v>
      </c>
      <c r="AU90" s="41">
        <v>1</v>
      </c>
      <c r="AV90" s="41">
        <v>1</v>
      </c>
      <c r="AW90" s="41">
        <v>1</v>
      </c>
      <c r="AX90" s="41">
        <v>1</v>
      </c>
      <c r="AY90" s="41">
        <v>1</v>
      </c>
      <c r="AZ90" s="41">
        <v>1</v>
      </c>
      <c r="BA90" s="41">
        <v>1</v>
      </c>
      <c r="BB90" s="41">
        <v>1</v>
      </c>
      <c r="BD90" s="145">
        <f t="shared" si="185"/>
        <v>1</v>
      </c>
      <c r="BE90" s="145">
        <v>1</v>
      </c>
      <c r="BF90" s="145">
        <v>1</v>
      </c>
      <c r="BG90" s="145">
        <v>1</v>
      </c>
      <c r="BH90" s="145">
        <v>1</v>
      </c>
      <c r="BI90" s="145">
        <v>1</v>
      </c>
      <c r="BJ90" s="41">
        <v>3.56</v>
      </c>
      <c r="BK90" s="41">
        <v>1</v>
      </c>
      <c r="BL90" s="41">
        <v>1</v>
      </c>
      <c r="BM90" s="41">
        <v>1</v>
      </c>
      <c r="BN90" s="41">
        <v>1</v>
      </c>
      <c r="BO90" s="41">
        <v>1</v>
      </c>
      <c r="BP90" s="41">
        <v>1</v>
      </c>
      <c r="BQ90" s="41">
        <v>1</v>
      </c>
      <c r="BR90" s="41">
        <v>1</v>
      </c>
      <c r="BS90" s="41">
        <v>1</v>
      </c>
      <c r="BT90" s="41">
        <v>1</v>
      </c>
      <c r="BU90" s="41">
        <v>1</v>
      </c>
      <c r="BV90" s="41">
        <v>1</v>
      </c>
      <c r="BW90" s="41">
        <v>1</v>
      </c>
      <c r="BX90" s="41">
        <v>1</v>
      </c>
      <c r="BY90" s="41">
        <v>1</v>
      </c>
      <c r="BZ90" s="41">
        <v>1</v>
      </c>
      <c r="CA90" s="41">
        <v>1</v>
      </c>
      <c r="CB90" s="41">
        <v>1</v>
      </c>
      <c r="CC90" s="41">
        <v>1</v>
      </c>
      <c r="CD90" s="41">
        <v>1</v>
      </c>
      <c r="CE90" s="41">
        <v>1</v>
      </c>
      <c r="CF90" s="41">
        <v>1</v>
      </c>
      <c r="CG90" s="41">
        <v>1</v>
      </c>
      <c r="CH90" s="41">
        <v>1</v>
      </c>
      <c r="CJ90" s="145">
        <f t="shared" si="186"/>
        <v>1</v>
      </c>
      <c r="CK90" s="145">
        <v>1</v>
      </c>
      <c r="CL90" s="145">
        <v>1</v>
      </c>
      <c r="CM90" s="145">
        <v>1</v>
      </c>
      <c r="CN90" s="145">
        <v>1</v>
      </c>
      <c r="CO90" s="145">
        <v>1</v>
      </c>
      <c r="CP90" s="41">
        <v>3.93</v>
      </c>
      <c r="CQ90" s="41">
        <v>1</v>
      </c>
      <c r="CR90" s="41">
        <v>1</v>
      </c>
      <c r="CS90" s="41">
        <v>1</v>
      </c>
      <c r="CT90" s="41">
        <v>1</v>
      </c>
      <c r="CU90" s="41">
        <v>1</v>
      </c>
      <c r="CV90" s="41">
        <v>1</v>
      </c>
      <c r="CW90" s="41">
        <v>1</v>
      </c>
      <c r="CX90" s="41">
        <v>1</v>
      </c>
      <c r="CY90" s="41">
        <v>1</v>
      </c>
      <c r="CZ90" s="41">
        <v>1</v>
      </c>
      <c r="DA90" s="41">
        <v>1</v>
      </c>
      <c r="DB90" s="41">
        <v>1</v>
      </c>
      <c r="DC90" s="41">
        <v>1</v>
      </c>
      <c r="DD90" s="41">
        <v>1</v>
      </c>
      <c r="DE90" s="41">
        <v>1</v>
      </c>
      <c r="DF90" s="41">
        <v>1</v>
      </c>
      <c r="DG90" s="41">
        <v>1</v>
      </c>
      <c r="DH90" s="41">
        <v>1</v>
      </c>
      <c r="DI90" s="41">
        <v>1</v>
      </c>
      <c r="DJ90" s="41">
        <v>1</v>
      </c>
      <c r="DK90" s="41">
        <v>1</v>
      </c>
      <c r="DL90" s="41">
        <v>1</v>
      </c>
      <c r="DM90" s="41">
        <v>1</v>
      </c>
      <c r="DN90" s="41">
        <v>1</v>
      </c>
      <c r="DP90" s="145">
        <f t="shared" si="187"/>
        <v>1</v>
      </c>
      <c r="DQ90" s="145">
        <v>1</v>
      </c>
      <c r="DR90" s="145">
        <v>1</v>
      </c>
      <c r="DS90" s="145">
        <v>1</v>
      </c>
      <c r="DT90" s="145">
        <v>1</v>
      </c>
      <c r="DU90" s="145">
        <v>1</v>
      </c>
      <c r="DV90" s="41">
        <v>4.28</v>
      </c>
      <c r="DW90" s="41">
        <v>1</v>
      </c>
      <c r="DX90" s="41">
        <v>1</v>
      </c>
      <c r="DY90" s="41">
        <v>1</v>
      </c>
      <c r="DZ90" s="41">
        <v>1</v>
      </c>
      <c r="EA90" s="41">
        <v>1</v>
      </c>
      <c r="EB90" s="41">
        <v>1</v>
      </c>
      <c r="EC90" s="41">
        <v>1</v>
      </c>
      <c r="ED90" s="41">
        <v>1</v>
      </c>
      <c r="EE90" s="41">
        <v>1</v>
      </c>
      <c r="EF90" s="41">
        <v>1</v>
      </c>
      <c r="EG90" s="41">
        <v>1</v>
      </c>
      <c r="EH90" s="41">
        <v>1</v>
      </c>
      <c r="EI90" s="41">
        <v>1</v>
      </c>
      <c r="EJ90" s="41">
        <v>1</v>
      </c>
      <c r="EK90" s="41">
        <v>1</v>
      </c>
      <c r="EL90" s="41">
        <v>1</v>
      </c>
      <c r="EM90" s="41">
        <v>1</v>
      </c>
      <c r="EN90" s="41">
        <v>1</v>
      </c>
      <c r="EO90" s="41">
        <v>1</v>
      </c>
      <c r="EP90" s="41">
        <v>1</v>
      </c>
      <c r="EQ90" s="41">
        <v>1</v>
      </c>
      <c r="ER90" s="41">
        <v>1</v>
      </c>
      <c r="ES90" s="41">
        <v>1</v>
      </c>
      <c r="ET90" s="41">
        <v>1</v>
      </c>
      <c r="EV90" s="145">
        <f t="shared" si="188"/>
        <v>1</v>
      </c>
      <c r="EW90" s="145">
        <v>1</v>
      </c>
      <c r="EX90" s="145">
        <v>1</v>
      </c>
      <c r="EY90" s="145">
        <v>1</v>
      </c>
      <c r="EZ90" s="145">
        <v>1</v>
      </c>
      <c r="FA90" s="145">
        <v>1</v>
      </c>
      <c r="FB90" s="41">
        <v>4.41</v>
      </c>
      <c r="FC90" s="41">
        <v>1</v>
      </c>
      <c r="FD90" s="41">
        <v>1</v>
      </c>
      <c r="FE90" s="41">
        <v>1</v>
      </c>
      <c r="FF90" s="41">
        <v>1</v>
      </c>
      <c r="FG90" s="41">
        <v>1</v>
      </c>
      <c r="FH90" s="41">
        <v>1</v>
      </c>
      <c r="FI90" s="41">
        <v>1</v>
      </c>
      <c r="FJ90" s="41">
        <v>1</v>
      </c>
      <c r="FK90" s="41">
        <v>1</v>
      </c>
      <c r="FL90" s="41">
        <v>1</v>
      </c>
      <c r="FM90" s="41">
        <v>1</v>
      </c>
      <c r="FN90" s="41">
        <v>1</v>
      </c>
      <c r="FO90" s="41">
        <v>1</v>
      </c>
      <c r="FP90" s="41">
        <v>1</v>
      </c>
      <c r="FQ90" s="41">
        <v>1</v>
      </c>
      <c r="FR90" s="41">
        <v>1</v>
      </c>
      <c r="FS90" s="41">
        <v>1</v>
      </c>
      <c r="FT90" s="41">
        <v>1</v>
      </c>
      <c r="FU90" s="41">
        <v>1</v>
      </c>
      <c r="FV90" s="41">
        <v>1</v>
      </c>
      <c r="FW90" s="41">
        <v>1</v>
      </c>
      <c r="FX90" s="41">
        <v>1</v>
      </c>
      <c r="FY90" s="41">
        <v>1</v>
      </c>
      <c r="FZ90" s="41">
        <v>1</v>
      </c>
      <c r="GB90" s="145">
        <f t="shared" si="189"/>
        <v>1</v>
      </c>
      <c r="GC90" s="145">
        <v>1</v>
      </c>
      <c r="GD90" s="145">
        <v>1</v>
      </c>
      <c r="GE90" s="145">
        <v>1</v>
      </c>
      <c r="GF90" s="145">
        <v>1</v>
      </c>
      <c r="GG90" s="145">
        <v>1</v>
      </c>
      <c r="GH90" s="41">
        <v>11.63</v>
      </c>
      <c r="GI90" s="41">
        <v>1</v>
      </c>
      <c r="GJ90" s="41">
        <v>1</v>
      </c>
      <c r="GK90" s="41">
        <v>1</v>
      </c>
      <c r="GL90" s="41">
        <v>1</v>
      </c>
      <c r="GM90" s="41">
        <v>1</v>
      </c>
      <c r="GN90" s="41">
        <v>1</v>
      </c>
      <c r="GO90" s="41">
        <v>1</v>
      </c>
      <c r="GP90" s="41">
        <v>1</v>
      </c>
      <c r="GQ90" s="41">
        <v>1</v>
      </c>
      <c r="GR90" s="41">
        <v>1</v>
      </c>
      <c r="GS90" s="41">
        <v>1</v>
      </c>
      <c r="GT90" s="41">
        <v>1</v>
      </c>
      <c r="GU90" s="41">
        <v>1</v>
      </c>
      <c r="GV90" s="41">
        <v>1</v>
      </c>
      <c r="GW90" s="41">
        <v>1</v>
      </c>
      <c r="GX90" s="41">
        <v>1</v>
      </c>
      <c r="GY90" s="41">
        <v>1</v>
      </c>
      <c r="GZ90" s="41">
        <v>1</v>
      </c>
      <c r="HA90" s="41">
        <v>1</v>
      </c>
      <c r="HB90" s="41">
        <v>1</v>
      </c>
      <c r="HC90" s="41">
        <v>1</v>
      </c>
      <c r="HD90" s="41">
        <v>1</v>
      </c>
      <c r="HE90" s="41">
        <v>1</v>
      </c>
      <c r="HF90" s="41">
        <v>1</v>
      </c>
      <c r="HH90" s="373">
        <v>1</v>
      </c>
      <c r="HI90" s="218">
        <v>1</v>
      </c>
      <c r="HJ90" s="229">
        <v>1</v>
      </c>
      <c r="HK90" s="229">
        <v>1</v>
      </c>
      <c r="HM90" s="373">
        <f t="shared" si="190"/>
        <v>1</v>
      </c>
      <c r="HN90" s="145">
        <v>1</v>
      </c>
    </row>
    <row r="91" spans="1:235" hidden="1" x14ac:dyDescent="0.2">
      <c r="A91" s="373">
        <f t="shared" si="183"/>
        <v>87</v>
      </c>
      <c r="B91" s="41" t="s">
        <v>1</v>
      </c>
      <c r="C91" s="41">
        <v>1</v>
      </c>
      <c r="H91" s="41">
        <v>1</v>
      </c>
      <c r="I91" s="145">
        <v>1</v>
      </c>
      <c r="J91" s="145">
        <v>1</v>
      </c>
      <c r="K91" s="145">
        <v>1</v>
      </c>
      <c r="L91" s="145">
        <v>1</v>
      </c>
      <c r="M91" s="372">
        <v>0</v>
      </c>
      <c r="N91" s="145">
        <v>0</v>
      </c>
      <c r="O91" s="145">
        <v>0</v>
      </c>
      <c r="P91" s="145">
        <v>0</v>
      </c>
      <c r="Q91" s="145">
        <v>0</v>
      </c>
      <c r="R91" s="152" t="s">
        <v>239</v>
      </c>
      <c r="T91" s="225">
        <f t="shared" si="206"/>
        <v>1</v>
      </c>
      <c r="U91" s="225">
        <f t="shared" si="206"/>
        <v>1</v>
      </c>
      <c r="V91" s="225">
        <f t="shared" si="206"/>
        <v>1</v>
      </c>
      <c r="W91" s="225">
        <f t="shared" si="206"/>
        <v>1</v>
      </c>
      <c r="X91" s="145">
        <f t="shared" si="184"/>
        <v>1</v>
      </c>
      <c r="Y91" s="145">
        <v>1</v>
      </c>
      <c r="Z91" s="145">
        <v>1</v>
      </c>
      <c r="AA91" s="145">
        <v>1</v>
      </c>
      <c r="AB91" s="145">
        <v>1</v>
      </c>
      <c r="AC91" s="145">
        <v>1</v>
      </c>
      <c r="AD91" s="145">
        <v>1</v>
      </c>
      <c r="AE91" s="41">
        <v>1</v>
      </c>
      <c r="AF91" s="41">
        <v>1</v>
      </c>
      <c r="AG91" s="41">
        <v>1</v>
      </c>
      <c r="AH91" s="41">
        <v>1</v>
      </c>
      <c r="AI91" s="41">
        <v>1</v>
      </c>
      <c r="AJ91" s="41">
        <v>1</v>
      </c>
      <c r="AK91" s="41">
        <v>1</v>
      </c>
      <c r="AL91" s="41">
        <v>1</v>
      </c>
      <c r="AM91" s="41">
        <v>1</v>
      </c>
      <c r="AN91" s="41">
        <v>1</v>
      </c>
      <c r="AO91" s="41">
        <v>1</v>
      </c>
      <c r="AP91" s="41">
        <v>1</v>
      </c>
      <c r="AQ91" s="41">
        <v>1</v>
      </c>
      <c r="AR91" s="41">
        <v>1</v>
      </c>
      <c r="AS91" s="41">
        <v>1</v>
      </c>
      <c r="AT91" s="41">
        <v>1</v>
      </c>
      <c r="AU91" s="41">
        <v>1</v>
      </c>
      <c r="AV91" s="41">
        <v>1</v>
      </c>
      <c r="AW91" s="41">
        <v>1</v>
      </c>
      <c r="AX91" s="41">
        <v>1</v>
      </c>
      <c r="AY91" s="41">
        <v>1</v>
      </c>
      <c r="AZ91" s="41">
        <v>1</v>
      </c>
      <c r="BA91" s="41">
        <v>1</v>
      </c>
      <c r="BB91" s="41">
        <v>1</v>
      </c>
      <c r="BD91" s="145">
        <f t="shared" si="185"/>
        <v>1</v>
      </c>
      <c r="BE91" s="145">
        <v>1</v>
      </c>
      <c r="BF91" s="145">
        <v>1</v>
      </c>
      <c r="BG91" s="145">
        <v>1</v>
      </c>
      <c r="BH91" s="145">
        <v>1</v>
      </c>
      <c r="BI91" s="145">
        <v>1</v>
      </c>
      <c r="BJ91" s="145">
        <v>1</v>
      </c>
      <c r="BK91" s="41">
        <v>1</v>
      </c>
      <c r="BL91" s="41">
        <v>1</v>
      </c>
      <c r="BM91" s="41">
        <v>1</v>
      </c>
      <c r="BN91" s="41">
        <v>1</v>
      </c>
      <c r="BO91" s="41">
        <v>1</v>
      </c>
      <c r="BP91" s="41">
        <v>1</v>
      </c>
      <c r="BQ91" s="41">
        <v>1</v>
      </c>
      <c r="BR91" s="41">
        <v>1</v>
      </c>
      <c r="BS91" s="41">
        <v>1</v>
      </c>
      <c r="BT91" s="41">
        <v>1</v>
      </c>
      <c r="BU91" s="41">
        <v>1</v>
      </c>
      <c r="BV91" s="41">
        <v>1</v>
      </c>
      <c r="BW91" s="41">
        <v>1</v>
      </c>
      <c r="BX91" s="41">
        <v>1</v>
      </c>
      <c r="BY91" s="41">
        <v>1</v>
      </c>
      <c r="BZ91" s="41">
        <v>1</v>
      </c>
      <c r="CA91" s="41">
        <v>1</v>
      </c>
      <c r="CB91" s="41">
        <v>1</v>
      </c>
      <c r="CC91" s="41">
        <v>1</v>
      </c>
      <c r="CD91" s="41">
        <v>1</v>
      </c>
      <c r="CE91" s="41">
        <v>1</v>
      </c>
      <c r="CF91" s="41">
        <v>1</v>
      </c>
      <c r="CG91" s="41">
        <v>1</v>
      </c>
      <c r="CH91" s="41">
        <v>1</v>
      </c>
      <c r="CJ91" s="145">
        <f t="shared" si="186"/>
        <v>1</v>
      </c>
      <c r="CK91" s="145">
        <v>1</v>
      </c>
      <c r="CL91" s="145">
        <v>1</v>
      </c>
      <c r="CM91" s="145">
        <v>1</v>
      </c>
      <c r="CN91" s="145">
        <v>1</v>
      </c>
      <c r="CO91" s="145">
        <v>1</v>
      </c>
      <c r="CP91" s="145">
        <v>1</v>
      </c>
      <c r="CQ91" s="41">
        <v>1</v>
      </c>
      <c r="CR91" s="41">
        <v>1</v>
      </c>
      <c r="CS91" s="41">
        <v>1</v>
      </c>
      <c r="CT91" s="41">
        <v>1</v>
      </c>
      <c r="CU91" s="41">
        <v>1</v>
      </c>
      <c r="CV91" s="41">
        <v>1</v>
      </c>
      <c r="CW91" s="41">
        <v>1</v>
      </c>
      <c r="CX91" s="41">
        <v>1</v>
      </c>
      <c r="CY91" s="41">
        <v>1</v>
      </c>
      <c r="CZ91" s="41">
        <v>1</v>
      </c>
      <c r="DA91" s="41">
        <v>1</v>
      </c>
      <c r="DB91" s="41">
        <v>1</v>
      </c>
      <c r="DC91" s="41">
        <v>1</v>
      </c>
      <c r="DD91" s="41">
        <v>1</v>
      </c>
      <c r="DE91" s="41">
        <v>1</v>
      </c>
      <c r="DF91" s="41">
        <v>1</v>
      </c>
      <c r="DG91" s="41">
        <v>1</v>
      </c>
      <c r="DH91" s="41">
        <v>1</v>
      </c>
      <c r="DI91" s="41">
        <v>1</v>
      </c>
      <c r="DJ91" s="41">
        <v>1</v>
      </c>
      <c r="DK91" s="41">
        <v>1</v>
      </c>
      <c r="DL91" s="41">
        <v>1</v>
      </c>
      <c r="DM91" s="41">
        <v>1</v>
      </c>
      <c r="DN91" s="41">
        <v>1</v>
      </c>
      <c r="DP91" s="145">
        <f t="shared" si="187"/>
        <v>1</v>
      </c>
      <c r="DQ91" s="145">
        <v>1</v>
      </c>
      <c r="DR91" s="145">
        <v>1</v>
      </c>
      <c r="DS91" s="145">
        <v>1</v>
      </c>
      <c r="DT91" s="145">
        <v>1</v>
      </c>
      <c r="DU91" s="145">
        <v>1</v>
      </c>
      <c r="DV91" s="145">
        <v>1</v>
      </c>
      <c r="DW91" s="41">
        <v>1</v>
      </c>
      <c r="DX91" s="41">
        <v>1</v>
      </c>
      <c r="DY91" s="41">
        <v>1</v>
      </c>
      <c r="DZ91" s="41">
        <v>1</v>
      </c>
      <c r="EA91" s="41">
        <v>1</v>
      </c>
      <c r="EB91" s="41">
        <v>1</v>
      </c>
      <c r="EC91" s="41">
        <v>1</v>
      </c>
      <c r="ED91" s="41">
        <v>1</v>
      </c>
      <c r="EE91" s="41">
        <v>1</v>
      </c>
      <c r="EF91" s="41">
        <v>1</v>
      </c>
      <c r="EG91" s="41">
        <v>1</v>
      </c>
      <c r="EH91" s="41">
        <v>1</v>
      </c>
      <c r="EI91" s="41">
        <v>1</v>
      </c>
      <c r="EJ91" s="41">
        <v>1</v>
      </c>
      <c r="EK91" s="41">
        <v>1</v>
      </c>
      <c r="EL91" s="41">
        <v>1</v>
      </c>
      <c r="EM91" s="41">
        <v>1</v>
      </c>
      <c r="EN91" s="41">
        <v>1</v>
      </c>
      <c r="EO91" s="41">
        <v>1</v>
      </c>
      <c r="EP91" s="41">
        <v>1</v>
      </c>
      <c r="EQ91" s="41">
        <v>1</v>
      </c>
      <c r="ER91" s="41">
        <v>1</v>
      </c>
      <c r="ES91" s="41">
        <v>1</v>
      </c>
      <c r="ET91" s="41">
        <v>1</v>
      </c>
      <c r="EV91" s="145">
        <f t="shared" si="188"/>
        <v>1</v>
      </c>
      <c r="EW91" s="145">
        <v>1</v>
      </c>
      <c r="EX91" s="145">
        <v>1</v>
      </c>
      <c r="EY91" s="145">
        <v>1</v>
      </c>
      <c r="EZ91" s="145">
        <v>1</v>
      </c>
      <c r="FA91" s="145">
        <v>1</v>
      </c>
      <c r="FB91" s="145">
        <v>1</v>
      </c>
      <c r="FC91" s="41">
        <v>1</v>
      </c>
      <c r="FD91" s="41">
        <v>1</v>
      </c>
      <c r="FE91" s="41">
        <v>1</v>
      </c>
      <c r="FF91" s="41">
        <v>1</v>
      </c>
      <c r="FG91" s="41">
        <v>1</v>
      </c>
      <c r="FH91" s="41">
        <v>1</v>
      </c>
      <c r="FI91" s="41">
        <v>1</v>
      </c>
      <c r="FJ91" s="41">
        <v>1</v>
      </c>
      <c r="FK91" s="41">
        <v>1</v>
      </c>
      <c r="FL91" s="41">
        <v>1</v>
      </c>
      <c r="FM91" s="41">
        <v>1</v>
      </c>
      <c r="FN91" s="41">
        <v>1</v>
      </c>
      <c r="FO91" s="41">
        <v>1</v>
      </c>
      <c r="FP91" s="41">
        <v>1</v>
      </c>
      <c r="FQ91" s="41">
        <v>1</v>
      </c>
      <c r="FR91" s="41">
        <v>1</v>
      </c>
      <c r="FS91" s="41">
        <v>1</v>
      </c>
      <c r="FT91" s="41">
        <v>1</v>
      </c>
      <c r="FU91" s="41">
        <v>1</v>
      </c>
      <c r="FV91" s="41">
        <v>1</v>
      </c>
      <c r="FW91" s="41">
        <v>1</v>
      </c>
      <c r="FX91" s="41">
        <v>1</v>
      </c>
      <c r="FY91" s="41">
        <v>1</v>
      </c>
      <c r="FZ91" s="41">
        <v>1</v>
      </c>
      <c r="GB91" s="145">
        <f t="shared" si="189"/>
        <v>1</v>
      </c>
      <c r="GC91" s="145">
        <v>1</v>
      </c>
      <c r="GD91" s="145">
        <v>1</v>
      </c>
      <c r="GE91" s="145">
        <v>1</v>
      </c>
      <c r="GF91" s="145">
        <v>1</v>
      </c>
      <c r="GG91" s="145">
        <v>1</v>
      </c>
      <c r="GH91" s="145">
        <v>1</v>
      </c>
      <c r="GI91" s="41">
        <v>1</v>
      </c>
      <c r="GJ91" s="41">
        <v>1</v>
      </c>
      <c r="GK91" s="41">
        <v>1</v>
      </c>
      <c r="GL91" s="41">
        <v>1</v>
      </c>
      <c r="GM91" s="41">
        <v>1</v>
      </c>
      <c r="GN91" s="41">
        <v>1</v>
      </c>
      <c r="GO91" s="41">
        <v>1</v>
      </c>
      <c r="GP91" s="41">
        <v>1</v>
      </c>
      <c r="GQ91" s="41">
        <v>1</v>
      </c>
      <c r="GR91" s="41">
        <v>1</v>
      </c>
      <c r="GS91" s="41">
        <v>1</v>
      </c>
      <c r="GT91" s="41">
        <v>1</v>
      </c>
      <c r="GU91" s="41">
        <v>1</v>
      </c>
      <c r="GV91" s="41">
        <v>1</v>
      </c>
      <c r="GW91" s="41">
        <v>1</v>
      </c>
      <c r="GX91" s="41">
        <v>1</v>
      </c>
      <c r="GY91" s="41">
        <v>1</v>
      </c>
      <c r="GZ91" s="41">
        <v>1</v>
      </c>
      <c r="HA91" s="41">
        <v>1</v>
      </c>
      <c r="HB91" s="41">
        <v>1</v>
      </c>
      <c r="HC91" s="41">
        <v>1</v>
      </c>
      <c r="HD91" s="41">
        <v>1</v>
      </c>
      <c r="HE91" s="41">
        <v>1</v>
      </c>
      <c r="HF91" s="41">
        <v>1</v>
      </c>
      <c r="HH91" s="373">
        <v>1</v>
      </c>
      <c r="HI91" s="218">
        <v>1</v>
      </c>
      <c r="HJ91" s="229">
        <v>1</v>
      </c>
      <c r="HK91" s="229">
        <v>1</v>
      </c>
      <c r="HM91" s="373">
        <f t="shared" si="190"/>
        <v>1</v>
      </c>
      <c r="HN91" s="145">
        <v>1</v>
      </c>
    </row>
    <row r="93" spans="1:235" x14ac:dyDescent="0.2">
      <c r="B93" s="146" t="s">
        <v>297</v>
      </c>
      <c r="M93" s="145">
        <v>3.9E-2</v>
      </c>
      <c r="N93" s="145">
        <v>2.5000000000000001E-2</v>
      </c>
      <c r="O93" s="145">
        <v>3.3000000000000002E-2</v>
      </c>
      <c r="P93" s="145">
        <v>5.3999999999999999E-2</v>
      </c>
    </row>
    <row r="96" spans="1:235" x14ac:dyDescent="0.2">
      <c r="B96" s="146" t="s">
        <v>650</v>
      </c>
      <c r="D96" s="41" t="s">
        <v>314</v>
      </c>
      <c r="E96" s="41" t="s">
        <v>308</v>
      </c>
      <c r="F96" s="41" t="s">
        <v>308</v>
      </c>
      <c r="G96" s="41" t="s">
        <v>3</v>
      </c>
    </row>
    <row r="97" spans="1:219" s="154" customFormat="1" ht="15" x14ac:dyDescent="0.25">
      <c r="A97" s="223"/>
      <c r="B97" s="155"/>
      <c r="C97" s="155" t="s">
        <v>183</v>
      </c>
      <c r="D97" s="155"/>
      <c r="E97" s="155" t="s">
        <v>4</v>
      </c>
      <c r="F97" s="155"/>
      <c r="G97" s="155"/>
      <c r="H97" s="155"/>
      <c r="I97" s="154" t="s">
        <v>5</v>
      </c>
      <c r="M97" s="154" t="s">
        <v>194</v>
      </c>
      <c r="N97" s="154" t="s">
        <v>256</v>
      </c>
      <c r="O97" s="154" t="s">
        <v>6</v>
      </c>
      <c r="P97" s="145"/>
      <c r="Q97" s="145"/>
      <c r="R97" s="145"/>
      <c r="S97" s="145"/>
      <c r="T97" s="145"/>
      <c r="V97" s="145"/>
      <c r="W97" s="145"/>
      <c r="X97" s="145"/>
      <c r="Y97" s="145"/>
      <c r="Z97" s="145"/>
      <c r="AA97" s="145"/>
      <c r="AB97" s="145"/>
      <c r="AC97" s="145"/>
      <c r="AD97" s="145"/>
      <c r="AE97" s="145"/>
      <c r="AF97" s="145"/>
      <c r="AG97" s="145"/>
      <c r="AH97" s="145"/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  <c r="BG97" s="145"/>
      <c r="HJ97" s="155"/>
      <c r="HK97" s="155"/>
    </row>
    <row r="98" spans="1:219" s="154" customFormat="1" ht="15" x14ac:dyDescent="0.25">
      <c r="A98" s="223" t="s">
        <v>186</v>
      </c>
      <c r="B98" s="156" t="s">
        <v>251</v>
      </c>
      <c r="C98" s="155"/>
      <c r="D98" s="155"/>
      <c r="E98" s="157" t="s">
        <v>2</v>
      </c>
      <c r="F98" s="157" t="s">
        <v>185</v>
      </c>
      <c r="G98" s="157" t="s">
        <v>252</v>
      </c>
      <c r="H98" s="157"/>
      <c r="I98" s="158" t="s">
        <v>2</v>
      </c>
      <c r="J98" s="158" t="s">
        <v>185</v>
      </c>
      <c r="K98" s="158" t="s">
        <v>252</v>
      </c>
      <c r="L98" s="158"/>
      <c r="M98" s="145" t="s">
        <v>3</v>
      </c>
      <c r="N98" s="145" t="s">
        <v>308</v>
      </c>
      <c r="O98" s="158" t="s">
        <v>308</v>
      </c>
      <c r="P98" s="145"/>
      <c r="Q98" s="145"/>
      <c r="R98" s="145"/>
      <c r="S98" s="145"/>
      <c r="T98" s="145"/>
      <c r="U98" s="158"/>
      <c r="V98" s="145"/>
      <c r="W98" s="145"/>
      <c r="X98" s="145"/>
      <c r="Y98" s="145"/>
      <c r="Z98" s="145"/>
      <c r="AA98" s="145"/>
      <c r="AB98" s="145"/>
      <c r="AC98" s="145"/>
      <c r="AD98" s="145"/>
      <c r="AE98" s="145"/>
      <c r="AF98" s="145"/>
      <c r="AG98" s="145"/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HJ98" s="155"/>
      <c r="HK98" s="155"/>
    </row>
    <row r="99" spans="1:219" s="154" customFormat="1" ht="15" x14ac:dyDescent="0.25">
      <c r="A99" s="223">
        <v>1</v>
      </c>
      <c r="B99" s="155" t="s">
        <v>31</v>
      </c>
      <c r="C99" s="41" t="s">
        <v>257</v>
      </c>
      <c r="D99" s="155"/>
      <c r="E99" s="41">
        <f t="shared" ref="E99:E130" si="207">IF($E$96=$F$96,F99,IF($E$96=$G$96,ROUND(G99/G$99,3),1))</f>
        <v>1</v>
      </c>
      <c r="F99" s="155">
        <v>1</v>
      </c>
      <c r="G99" s="155">
        <v>1.0760000000000001</v>
      </c>
      <c r="H99" s="155"/>
      <c r="I99" s="145">
        <f t="shared" ref="I99:I138" si="208">IF($E$96=$F$96,J99,IF($E$96=$G$96,ROUND(K99/K$99,3),1))</f>
        <v>1</v>
      </c>
      <c r="J99" s="154">
        <v>1</v>
      </c>
      <c r="K99" s="154">
        <v>1.052</v>
      </c>
      <c r="L99" s="159"/>
      <c r="M99" s="154">
        <v>1</v>
      </c>
      <c r="N99" s="159">
        <f>ROUND(N103/1.19,3)</f>
        <v>0.84</v>
      </c>
      <c r="O99" s="159">
        <f>ROUND(O103/1.266,3)</f>
        <v>0.79</v>
      </c>
      <c r="P99" s="145"/>
      <c r="Q99" s="145"/>
      <c r="R99" s="145"/>
      <c r="S99" s="145"/>
      <c r="T99" s="145"/>
      <c r="U99" s="159"/>
      <c r="V99" s="145"/>
      <c r="W99" s="145"/>
      <c r="X99" s="145"/>
      <c r="Y99" s="145"/>
      <c r="Z99" s="145"/>
      <c r="AA99" s="145"/>
      <c r="AB99" s="145"/>
      <c r="AC99" s="145"/>
      <c r="AD99" s="145"/>
      <c r="AE99" s="145"/>
      <c r="AF99" s="145"/>
      <c r="AG99" s="145"/>
      <c r="AH99" s="145"/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  <c r="BA99" s="145"/>
      <c r="BB99" s="145"/>
      <c r="BC99" s="145"/>
      <c r="BD99" s="145"/>
      <c r="BE99" s="145"/>
      <c r="BF99" s="145"/>
      <c r="BG99" s="145"/>
      <c r="HJ99" s="155"/>
      <c r="HK99" s="155"/>
    </row>
    <row r="100" spans="1:219" s="154" customFormat="1" ht="15" x14ac:dyDescent="0.25">
      <c r="A100" s="223">
        <f>A99+1</f>
        <v>2</v>
      </c>
      <c r="B100" s="155" t="s">
        <v>32</v>
      </c>
      <c r="C100" s="41" t="s">
        <v>229</v>
      </c>
      <c r="D100" s="155"/>
      <c r="E100" s="41">
        <f t="shared" si="207"/>
        <v>1.0549999999999999</v>
      </c>
      <c r="F100" s="160">
        <v>1.0549999999999999</v>
      </c>
      <c r="G100" s="155">
        <v>1.121</v>
      </c>
      <c r="H100" s="155"/>
      <c r="I100" s="145">
        <f t="shared" si="208"/>
        <v>1.1200000000000001</v>
      </c>
      <c r="J100" s="159">
        <f>J99+0.12</f>
        <v>1.1200000000000001</v>
      </c>
      <c r="K100" s="154">
        <v>1.121</v>
      </c>
      <c r="L100" s="159"/>
      <c r="M100" s="154">
        <v>1</v>
      </c>
      <c r="N100" s="159">
        <f>N99+0.04</f>
        <v>0.88</v>
      </c>
      <c r="O100" s="159">
        <f>ROUND(O99+0.0525,3)</f>
        <v>0.84299999999999997</v>
      </c>
      <c r="P100" s="145"/>
      <c r="Q100" s="145"/>
      <c r="R100" s="145"/>
      <c r="S100" s="145"/>
      <c r="T100" s="145"/>
      <c r="U100" s="159"/>
      <c r="V100" s="145"/>
      <c r="W100" s="145"/>
      <c r="X100" s="145"/>
      <c r="Y100" s="145"/>
      <c r="Z100" s="145"/>
      <c r="AA100" s="145"/>
      <c r="AB100" s="145"/>
      <c r="AC100" s="145"/>
      <c r="AD100" s="145"/>
      <c r="AE100" s="145"/>
      <c r="AF100" s="145"/>
      <c r="AG100" s="145"/>
      <c r="AH100" s="145"/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45"/>
      <c r="BB100" s="145"/>
      <c r="BC100" s="145"/>
      <c r="BD100" s="145"/>
      <c r="BE100" s="145"/>
      <c r="BF100" s="145"/>
      <c r="BG100" s="145"/>
      <c r="HJ100" s="155"/>
      <c r="HK100" s="155"/>
    </row>
    <row r="101" spans="1:219" s="154" customFormat="1" ht="15" x14ac:dyDescent="0.25">
      <c r="A101" s="223">
        <f>A100+1</f>
        <v>3</v>
      </c>
      <c r="B101" s="155" t="s">
        <v>33</v>
      </c>
      <c r="C101" s="41" t="s">
        <v>229</v>
      </c>
      <c r="D101" s="155"/>
      <c r="E101" s="41">
        <f t="shared" si="207"/>
        <v>1.111</v>
      </c>
      <c r="F101" s="160">
        <v>1.111</v>
      </c>
      <c r="G101" s="155">
        <v>1.165</v>
      </c>
      <c r="H101" s="155"/>
      <c r="I101" s="145">
        <f t="shared" si="208"/>
        <v>1.2400000000000002</v>
      </c>
      <c r="J101" s="159">
        <f t="shared" ref="J101:J132" si="209">J100+0.12</f>
        <v>1.2400000000000002</v>
      </c>
      <c r="K101" s="154">
        <v>1.2190000000000001</v>
      </c>
      <c r="L101" s="159"/>
      <c r="M101" s="154">
        <v>1</v>
      </c>
      <c r="N101" s="159">
        <f t="shared" ref="N101:N102" si="210">N100+0.04</f>
        <v>0.92</v>
      </c>
      <c r="O101" s="159">
        <f t="shared" ref="O101:O102" si="211">ROUND(O100+0.0525,3)</f>
        <v>0.89600000000000002</v>
      </c>
      <c r="P101" s="145"/>
      <c r="Q101" s="145"/>
      <c r="R101" s="145"/>
      <c r="S101" s="145"/>
      <c r="T101" s="145"/>
      <c r="U101" s="159"/>
      <c r="V101" s="145"/>
      <c r="W101" s="145"/>
      <c r="X101" s="145"/>
      <c r="Y101" s="145"/>
      <c r="Z101" s="145"/>
      <c r="AA101" s="145"/>
      <c r="AB101" s="145"/>
      <c r="AC101" s="145"/>
      <c r="AD101" s="145"/>
      <c r="AE101" s="145"/>
      <c r="AF101" s="145"/>
      <c r="AG101" s="145"/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HJ101" s="155"/>
      <c r="HK101" s="155"/>
    </row>
    <row r="102" spans="1:219" s="154" customFormat="1" ht="15" x14ac:dyDescent="0.25">
      <c r="A102" s="223">
        <f t="shared" ref="A102:A165" si="212">A101+1</f>
        <v>4</v>
      </c>
      <c r="B102" s="155" t="s">
        <v>34</v>
      </c>
      <c r="C102" s="41" t="s">
        <v>229</v>
      </c>
      <c r="D102" s="155"/>
      <c r="E102" s="41">
        <f t="shared" si="207"/>
        <v>1.1659999999999999</v>
      </c>
      <c r="F102" s="160">
        <v>1.1659999999999999</v>
      </c>
      <c r="G102" s="155">
        <v>1.1970000000000001</v>
      </c>
      <c r="H102" s="155"/>
      <c r="I102" s="145">
        <f t="shared" si="208"/>
        <v>1.3600000000000003</v>
      </c>
      <c r="J102" s="159">
        <f t="shared" si="209"/>
        <v>1.3600000000000003</v>
      </c>
      <c r="K102" s="154">
        <v>1.353</v>
      </c>
      <c r="L102" s="159"/>
      <c r="M102" s="154">
        <v>1</v>
      </c>
      <c r="N102" s="159">
        <f t="shared" si="210"/>
        <v>0.96000000000000008</v>
      </c>
      <c r="O102" s="159">
        <f t="shared" si="211"/>
        <v>0.94899999999999995</v>
      </c>
      <c r="P102" s="145"/>
      <c r="Q102" s="145"/>
      <c r="R102" s="145"/>
      <c r="S102" s="145"/>
      <c r="T102" s="145"/>
      <c r="U102" s="159"/>
      <c r="V102" s="145"/>
      <c r="W102" s="145"/>
      <c r="X102" s="145"/>
      <c r="Y102" s="145"/>
      <c r="Z102" s="145"/>
      <c r="AA102" s="145"/>
      <c r="AB102" s="145"/>
      <c r="AC102" s="145"/>
      <c r="AD102" s="145"/>
      <c r="AE102" s="145"/>
      <c r="AF102" s="145"/>
      <c r="AG102" s="145"/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45"/>
      <c r="BB102" s="145"/>
      <c r="BC102" s="145"/>
      <c r="BD102" s="145"/>
      <c r="BE102" s="145"/>
      <c r="BF102" s="145"/>
      <c r="BG102" s="145"/>
      <c r="HJ102" s="155"/>
      <c r="HK102" s="155"/>
    </row>
    <row r="103" spans="1:219" s="154" customFormat="1" ht="15" x14ac:dyDescent="0.25">
      <c r="A103" s="223">
        <f t="shared" si="212"/>
        <v>5</v>
      </c>
      <c r="B103" s="155" t="s">
        <v>38</v>
      </c>
      <c r="C103" s="41" t="s">
        <v>229</v>
      </c>
      <c r="D103" s="155"/>
      <c r="E103" s="41">
        <f t="shared" si="207"/>
        <v>1.222</v>
      </c>
      <c r="F103" s="160">
        <v>1.222</v>
      </c>
      <c r="G103" s="155">
        <v>1.252</v>
      </c>
      <c r="H103" s="155"/>
      <c r="I103" s="145">
        <f t="shared" si="208"/>
        <v>1.4800000000000004</v>
      </c>
      <c r="J103" s="159">
        <f t="shared" si="209"/>
        <v>1.4800000000000004</v>
      </c>
      <c r="K103" s="154">
        <v>1.4630000000000001</v>
      </c>
      <c r="M103" s="154">
        <v>1</v>
      </c>
      <c r="N103" s="154">
        <v>1</v>
      </c>
      <c r="O103" s="154">
        <v>1</v>
      </c>
      <c r="P103" s="145"/>
      <c r="Q103" s="145"/>
      <c r="R103" s="145"/>
      <c r="S103" s="145"/>
      <c r="T103" s="145"/>
      <c r="V103" s="145"/>
      <c r="W103" s="145"/>
      <c r="X103" s="145"/>
      <c r="Y103" s="145"/>
      <c r="Z103" s="145"/>
      <c r="AA103" s="145"/>
      <c r="AB103" s="145"/>
      <c r="AC103" s="145"/>
      <c r="AD103" s="145"/>
      <c r="AE103" s="145"/>
      <c r="AF103" s="145"/>
      <c r="AG103" s="145"/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45"/>
      <c r="BB103" s="145"/>
      <c r="BC103" s="145"/>
      <c r="BD103" s="145"/>
      <c r="BE103" s="145"/>
      <c r="BF103" s="145"/>
      <c r="BG103" s="145"/>
      <c r="HJ103" s="155"/>
      <c r="HK103" s="155"/>
    </row>
    <row r="104" spans="1:219" s="154" customFormat="1" ht="15" x14ac:dyDescent="0.25">
      <c r="A104" s="223">
        <f t="shared" si="212"/>
        <v>6</v>
      </c>
      <c r="B104" s="155" t="s">
        <v>35</v>
      </c>
      <c r="C104" s="41" t="s">
        <v>229</v>
      </c>
      <c r="D104" s="155"/>
      <c r="E104" s="41">
        <f t="shared" si="207"/>
        <v>1.2769999999999999</v>
      </c>
      <c r="F104" s="160">
        <v>1.2769999999999999</v>
      </c>
      <c r="G104" s="155">
        <v>1.2929999999999999</v>
      </c>
      <c r="H104" s="155"/>
      <c r="I104" s="145">
        <f t="shared" si="208"/>
        <v>1.6000000000000005</v>
      </c>
      <c r="J104" s="159">
        <f t="shared" si="209"/>
        <v>1.6000000000000005</v>
      </c>
      <c r="K104" s="154">
        <v>1.504</v>
      </c>
      <c r="L104" s="159"/>
      <c r="M104" s="154">
        <v>1</v>
      </c>
      <c r="N104" s="159">
        <f>N103+0.046</f>
        <v>1.046</v>
      </c>
      <c r="O104" s="159">
        <f>ROUND(O103+0.0466666,3)</f>
        <v>1.0469999999999999</v>
      </c>
      <c r="P104" s="145"/>
      <c r="Q104" s="145"/>
      <c r="R104" s="145"/>
      <c r="S104" s="145"/>
      <c r="T104" s="145"/>
      <c r="U104" s="159"/>
      <c r="V104" s="145"/>
      <c r="W104" s="145"/>
      <c r="X104" s="145"/>
      <c r="Y104" s="145"/>
      <c r="Z104" s="145"/>
      <c r="AA104" s="145"/>
      <c r="AB104" s="145"/>
      <c r="AC104" s="145"/>
      <c r="AD104" s="145"/>
      <c r="AE104" s="145"/>
      <c r="AF104" s="145"/>
      <c r="AG104" s="145"/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45"/>
      <c r="BB104" s="145"/>
      <c r="BC104" s="145"/>
      <c r="BD104" s="145"/>
      <c r="BE104" s="145"/>
      <c r="BF104" s="145"/>
      <c r="BG104" s="145"/>
      <c r="HJ104" s="155"/>
      <c r="HK104" s="155"/>
    </row>
    <row r="105" spans="1:219" s="154" customFormat="1" ht="15" x14ac:dyDescent="0.25">
      <c r="A105" s="223">
        <f t="shared" si="212"/>
        <v>7</v>
      </c>
      <c r="B105" s="155" t="s">
        <v>36</v>
      </c>
      <c r="C105" s="41" t="s">
        <v>229</v>
      </c>
      <c r="D105" s="155"/>
      <c r="E105" s="41">
        <f t="shared" si="207"/>
        <v>1.333</v>
      </c>
      <c r="F105" s="160">
        <v>1.333</v>
      </c>
      <c r="G105" s="155">
        <v>1.325</v>
      </c>
      <c r="H105" s="155"/>
      <c r="I105" s="145">
        <f t="shared" si="208"/>
        <v>1.7200000000000006</v>
      </c>
      <c r="J105" s="159">
        <f t="shared" si="209"/>
        <v>1.7200000000000006</v>
      </c>
      <c r="K105" s="154">
        <v>1.5389999999999999</v>
      </c>
      <c r="L105" s="159"/>
      <c r="M105" s="154">
        <v>1</v>
      </c>
      <c r="N105" s="159">
        <f t="shared" ref="N105:N112" si="213">N104+0.046</f>
        <v>1.0920000000000001</v>
      </c>
      <c r="O105" s="159">
        <f t="shared" ref="O105:O114" si="214">ROUND(O104+0.0466666,3)</f>
        <v>1.0940000000000001</v>
      </c>
      <c r="P105" s="145"/>
      <c r="Q105" s="145"/>
      <c r="R105" s="145"/>
      <c r="S105" s="145"/>
      <c r="T105" s="145"/>
      <c r="U105" s="159"/>
      <c r="V105" s="145"/>
      <c r="W105" s="145"/>
      <c r="X105" s="145"/>
      <c r="Y105" s="145"/>
      <c r="Z105" s="145"/>
      <c r="AA105" s="145"/>
      <c r="AB105" s="145"/>
      <c r="AC105" s="145"/>
      <c r="AD105" s="145"/>
      <c r="AE105" s="145"/>
      <c r="AF105" s="145"/>
      <c r="AG105" s="145"/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HJ105" s="155"/>
      <c r="HK105" s="155"/>
    </row>
    <row r="106" spans="1:219" s="154" customFormat="1" ht="15" x14ac:dyDescent="0.25">
      <c r="A106" s="223">
        <f t="shared" si="212"/>
        <v>8</v>
      </c>
      <c r="B106" s="155" t="s">
        <v>37</v>
      </c>
      <c r="C106" s="41" t="s">
        <v>229</v>
      </c>
      <c r="D106" s="155"/>
      <c r="E106" s="41">
        <f t="shared" si="207"/>
        <v>1.3879999999999999</v>
      </c>
      <c r="F106" s="160">
        <v>1.3879999999999999</v>
      </c>
      <c r="G106" s="155">
        <v>1.3560000000000001</v>
      </c>
      <c r="H106" s="155"/>
      <c r="I106" s="145">
        <f t="shared" si="208"/>
        <v>1.8400000000000007</v>
      </c>
      <c r="J106" s="159">
        <f t="shared" si="209"/>
        <v>1.8400000000000007</v>
      </c>
      <c r="K106" s="154">
        <v>1.603</v>
      </c>
      <c r="L106" s="159"/>
      <c r="M106" s="154">
        <v>1</v>
      </c>
      <c r="N106" s="159">
        <f t="shared" si="213"/>
        <v>1.1380000000000001</v>
      </c>
      <c r="O106" s="159">
        <f t="shared" si="214"/>
        <v>1.141</v>
      </c>
      <c r="P106" s="145"/>
      <c r="Q106" s="145"/>
      <c r="R106" s="145"/>
      <c r="S106" s="145"/>
      <c r="T106" s="145"/>
      <c r="U106" s="159"/>
      <c r="V106" s="145"/>
      <c r="W106" s="145"/>
      <c r="X106" s="145"/>
      <c r="Y106" s="145"/>
      <c r="Z106" s="145"/>
      <c r="AA106" s="145"/>
      <c r="AB106" s="145"/>
      <c r="AC106" s="145"/>
      <c r="AD106" s="145"/>
      <c r="AE106" s="145"/>
      <c r="AF106" s="145"/>
      <c r="AG106" s="145"/>
      <c r="AH106" s="145"/>
      <c r="AI106" s="145"/>
      <c r="AJ106" s="145"/>
      <c r="AK106" s="145"/>
      <c r="AL106" s="145"/>
      <c r="AM106" s="145"/>
      <c r="AN106" s="145"/>
      <c r="AO106" s="145"/>
      <c r="AP106" s="145"/>
      <c r="AQ106" s="145"/>
      <c r="AR106" s="145"/>
      <c r="AS106" s="145"/>
      <c r="AT106" s="145"/>
      <c r="AU106" s="145"/>
      <c r="AV106" s="145"/>
      <c r="AW106" s="145"/>
      <c r="AX106" s="145"/>
      <c r="AY106" s="145"/>
      <c r="AZ106" s="145"/>
      <c r="BA106" s="145"/>
      <c r="BB106" s="145"/>
      <c r="BC106" s="145"/>
      <c r="BD106" s="145"/>
      <c r="BE106" s="145"/>
      <c r="BF106" s="145"/>
      <c r="BG106" s="145"/>
      <c r="HJ106" s="155"/>
      <c r="HK106" s="155"/>
    </row>
    <row r="107" spans="1:219" s="154" customFormat="1" ht="15" x14ac:dyDescent="0.25">
      <c r="A107" s="223">
        <f t="shared" si="212"/>
        <v>9</v>
      </c>
      <c r="B107" s="155" t="s">
        <v>42</v>
      </c>
      <c r="C107" s="41" t="s">
        <v>229</v>
      </c>
      <c r="D107" s="155"/>
      <c r="E107" s="41">
        <f t="shared" si="207"/>
        <v>1.444</v>
      </c>
      <c r="F107" s="160">
        <v>1.444</v>
      </c>
      <c r="G107" s="155">
        <v>1.407</v>
      </c>
      <c r="H107" s="155"/>
      <c r="I107" s="145">
        <f t="shared" si="208"/>
        <v>1.9600000000000009</v>
      </c>
      <c r="J107" s="159">
        <f t="shared" si="209"/>
        <v>1.9600000000000009</v>
      </c>
      <c r="K107" s="154">
        <v>1.6759999999999999</v>
      </c>
      <c r="L107" s="159"/>
      <c r="M107" s="154">
        <f>M103*1.186</f>
        <v>1.1859999999999999</v>
      </c>
      <c r="N107" s="159">
        <f t="shared" si="213"/>
        <v>1.1840000000000002</v>
      </c>
      <c r="O107" s="159">
        <f t="shared" si="214"/>
        <v>1.1879999999999999</v>
      </c>
      <c r="P107" s="145"/>
      <c r="Q107" s="145"/>
      <c r="R107" s="145"/>
      <c r="S107" s="145"/>
      <c r="T107" s="145"/>
      <c r="U107" s="159"/>
      <c r="V107" s="145"/>
      <c r="W107" s="145"/>
      <c r="X107" s="145"/>
      <c r="Y107" s="145"/>
      <c r="Z107" s="145"/>
      <c r="AA107" s="145"/>
      <c r="AB107" s="145"/>
      <c r="AC107" s="145"/>
      <c r="AD107" s="145"/>
      <c r="AE107" s="145"/>
      <c r="AF107" s="145"/>
      <c r="AG107" s="145"/>
      <c r="AH107" s="145"/>
      <c r="AI107" s="145"/>
      <c r="AJ107" s="145"/>
      <c r="AK107" s="145"/>
      <c r="AL107" s="145"/>
      <c r="AM107" s="145"/>
      <c r="AN107" s="145"/>
      <c r="AO107" s="145"/>
      <c r="AP107" s="145"/>
      <c r="AQ107" s="145"/>
      <c r="AR107" s="145"/>
      <c r="AS107" s="145"/>
      <c r="AT107" s="145"/>
      <c r="AU107" s="145"/>
      <c r="AV107" s="145"/>
      <c r="AW107" s="145"/>
      <c r="AX107" s="145"/>
      <c r="AY107" s="145"/>
      <c r="AZ107" s="145"/>
      <c r="BA107" s="145"/>
      <c r="BB107" s="145"/>
      <c r="BC107" s="145"/>
      <c r="BD107" s="145"/>
      <c r="BE107" s="145"/>
      <c r="BF107" s="145"/>
      <c r="BG107" s="145"/>
      <c r="HJ107" s="155"/>
      <c r="HK107" s="155"/>
    </row>
    <row r="108" spans="1:219" s="154" customFormat="1" ht="15" x14ac:dyDescent="0.25">
      <c r="A108" s="223">
        <f t="shared" si="212"/>
        <v>10</v>
      </c>
      <c r="B108" s="155" t="s">
        <v>39</v>
      </c>
      <c r="C108" s="41" t="s">
        <v>229</v>
      </c>
      <c r="D108" s="155"/>
      <c r="E108" s="41">
        <f t="shared" si="207"/>
        <v>1.4990000000000001</v>
      </c>
      <c r="F108" s="160">
        <v>1.4990000000000001</v>
      </c>
      <c r="G108" s="155">
        <v>1.431</v>
      </c>
      <c r="H108" s="155"/>
      <c r="I108" s="145">
        <f t="shared" si="208"/>
        <v>2.080000000000001</v>
      </c>
      <c r="J108" s="159">
        <f t="shared" si="209"/>
        <v>2.080000000000001</v>
      </c>
      <c r="K108" s="154">
        <v>1.7430000000000001</v>
      </c>
      <c r="L108" s="159"/>
      <c r="M108" s="154">
        <f t="shared" ref="M108:M110" si="215">M104*1.186</f>
        <v>1.1859999999999999</v>
      </c>
      <c r="N108" s="159">
        <f t="shared" si="213"/>
        <v>1.2300000000000002</v>
      </c>
      <c r="O108" s="159">
        <f t="shared" si="214"/>
        <v>1.2350000000000001</v>
      </c>
      <c r="P108" s="145"/>
      <c r="Q108" s="145"/>
      <c r="R108" s="145"/>
      <c r="S108" s="145"/>
      <c r="T108" s="145"/>
      <c r="U108" s="159"/>
      <c r="V108" s="145"/>
      <c r="W108" s="145"/>
      <c r="X108" s="145"/>
      <c r="Y108" s="145"/>
      <c r="Z108" s="145"/>
      <c r="AA108" s="145"/>
      <c r="AB108" s="145"/>
      <c r="AC108" s="145"/>
      <c r="AD108" s="145"/>
      <c r="AE108" s="145"/>
      <c r="AF108" s="145"/>
      <c r="AG108" s="145"/>
      <c r="AH108" s="145"/>
      <c r="AI108" s="145"/>
      <c r="AJ108" s="145"/>
      <c r="AK108" s="145"/>
      <c r="AL108" s="145"/>
      <c r="AM108" s="145"/>
      <c r="AN108" s="145"/>
      <c r="AO108" s="145"/>
      <c r="AP108" s="145"/>
      <c r="AQ108" s="145"/>
      <c r="AR108" s="145"/>
      <c r="AS108" s="145"/>
      <c r="AT108" s="145"/>
      <c r="AU108" s="145"/>
      <c r="AV108" s="145"/>
      <c r="AW108" s="145"/>
      <c r="AX108" s="145"/>
      <c r="AY108" s="145"/>
      <c r="AZ108" s="145"/>
      <c r="BA108" s="145"/>
      <c r="BB108" s="145"/>
      <c r="BC108" s="145"/>
      <c r="BD108" s="145"/>
      <c r="BE108" s="145"/>
      <c r="BF108" s="145"/>
      <c r="BG108" s="145"/>
      <c r="HJ108" s="155"/>
      <c r="HK108" s="155"/>
    </row>
    <row r="109" spans="1:219" s="154" customFormat="1" ht="15" x14ac:dyDescent="0.25">
      <c r="A109" s="223">
        <f t="shared" si="212"/>
        <v>11</v>
      </c>
      <c r="B109" s="155" t="s">
        <v>40</v>
      </c>
      <c r="C109" s="41" t="s">
        <v>229</v>
      </c>
      <c r="D109" s="155"/>
      <c r="E109" s="41">
        <f t="shared" si="207"/>
        <v>1.5549999999999999</v>
      </c>
      <c r="F109" s="160">
        <v>1.5549999999999999</v>
      </c>
      <c r="G109" s="155">
        <v>1.45</v>
      </c>
      <c r="H109" s="155"/>
      <c r="I109" s="145">
        <f t="shared" si="208"/>
        <v>2.2000000000000011</v>
      </c>
      <c r="J109" s="159">
        <f t="shared" si="209"/>
        <v>2.2000000000000011</v>
      </c>
      <c r="K109" s="154">
        <v>1.8</v>
      </c>
      <c r="L109" s="159"/>
      <c r="M109" s="154">
        <f t="shared" si="215"/>
        <v>1.1859999999999999</v>
      </c>
      <c r="N109" s="159">
        <f t="shared" si="213"/>
        <v>1.2760000000000002</v>
      </c>
      <c r="O109" s="159">
        <f t="shared" si="214"/>
        <v>1.282</v>
      </c>
      <c r="P109" s="145"/>
      <c r="Q109" s="145"/>
      <c r="R109" s="145"/>
      <c r="S109" s="145"/>
      <c r="T109" s="145"/>
      <c r="U109" s="159"/>
      <c r="V109" s="145"/>
      <c r="W109" s="145"/>
      <c r="X109" s="145"/>
      <c r="Y109" s="145"/>
      <c r="Z109" s="145"/>
      <c r="AA109" s="145"/>
      <c r="AB109" s="145"/>
      <c r="AC109" s="145"/>
      <c r="AD109" s="145"/>
      <c r="AE109" s="145"/>
      <c r="AF109" s="145"/>
      <c r="AG109" s="145"/>
      <c r="AH109" s="145"/>
      <c r="AI109" s="145"/>
      <c r="AJ109" s="145"/>
      <c r="AK109" s="145"/>
      <c r="AL109" s="145"/>
      <c r="AM109" s="145"/>
      <c r="AN109" s="145"/>
      <c r="AO109" s="145"/>
      <c r="AP109" s="145"/>
      <c r="AQ109" s="145"/>
      <c r="AR109" s="145"/>
      <c r="AS109" s="145"/>
      <c r="AT109" s="145"/>
      <c r="AU109" s="145"/>
      <c r="AV109" s="145"/>
      <c r="AW109" s="145"/>
      <c r="AX109" s="145"/>
      <c r="AY109" s="145"/>
      <c r="AZ109" s="145"/>
      <c r="BA109" s="145"/>
      <c r="BB109" s="145"/>
      <c r="BC109" s="145"/>
      <c r="BD109" s="145"/>
      <c r="BE109" s="145"/>
      <c r="BF109" s="145"/>
      <c r="BG109" s="145"/>
      <c r="HJ109" s="155"/>
      <c r="HK109" s="155"/>
    </row>
    <row r="110" spans="1:219" s="154" customFormat="1" ht="15" x14ac:dyDescent="0.25">
      <c r="A110" s="223">
        <f t="shared" si="212"/>
        <v>12</v>
      </c>
      <c r="B110" s="155" t="s">
        <v>41</v>
      </c>
      <c r="C110" s="41" t="s">
        <v>229</v>
      </c>
      <c r="D110" s="155"/>
      <c r="E110" s="41">
        <f t="shared" si="207"/>
        <v>1.611</v>
      </c>
      <c r="F110" s="160">
        <v>1.611</v>
      </c>
      <c r="G110" s="155">
        <v>1.4730000000000001</v>
      </c>
      <c r="H110" s="155"/>
      <c r="I110" s="145">
        <f t="shared" si="208"/>
        <v>2.3200000000000012</v>
      </c>
      <c r="J110" s="159">
        <f t="shared" si="209"/>
        <v>2.3200000000000012</v>
      </c>
      <c r="K110" s="154">
        <v>1.847</v>
      </c>
      <c r="L110" s="159"/>
      <c r="M110" s="154">
        <f t="shared" si="215"/>
        <v>1.1859999999999999</v>
      </c>
      <c r="N110" s="159">
        <f t="shared" si="213"/>
        <v>1.3220000000000003</v>
      </c>
      <c r="O110" s="159">
        <f t="shared" si="214"/>
        <v>1.329</v>
      </c>
      <c r="P110" s="145"/>
      <c r="Q110" s="145"/>
      <c r="R110" s="145"/>
      <c r="S110" s="145"/>
      <c r="T110" s="145"/>
      <c r="U110" s="159"/>
      <c r="V110" s="145"/>
      <c r="W110" s="145"/>
      <c r="X110" s="145"/>
      <c r="Y110" s="145"/>
      <c r="Z110" s="145"/>
      <c r="AA110" s="145"/>
      <c r="AB110" s="145"/>
      <c r="AC110" s="145"/>
      <c r="AD110" s="145"/>
      <c r="AE110" s="145"/>
      <c r="AF110" s="145"/>
      <c r="AG110" s="145"/>
      <c r="AH110" s="145"/>
      <c r="AI110" s="145"/>
      <c r="AJ110" s="145"/>
      <c r="AK110" s="145"/>
      <c r="AL110" s="145"/>
      <c r="AM110" s="145"/>
      <c r="AN110" s="145"/>
      <c r="AO110" s="145"/>
      <c r="AP110" s="145"/>
      <c r="AQ110" s="145"/>
      <c r="AR110" s="145"/>
      <c r="AS110" s="145"/>
      <c r="AT110" s="145"/>
      <c r="AU110" s="145"/>
      <c r="AV110" s="145"/>
      <c r="AW110" s="145"/>
      <c r="AX110" s="145"/>
      <c r="AY110" s="145"/>
      <c r="AZ110" s="145"/>
      <c r="BA110" s="145"/>
      <c r="BB110" s="145"/>
      <c r="BC110" s="145"/>
      <c r="BD110" s="145"/>
      <c r="BE110" s="145"/>
      <c r="BF110" s="145"/>
      <c r="BG110" s="145"/>
      <c r="HJ110" s="155"/>
      <c r="HK110" s="155"/>
    </row>
    <row r="111" spans="1:219" s="154" customFormat="1" ht="15" x14ac:dyDescent="0.25">
      <c r="A111" s="223">
        <f t="shared" si="212"/>
        <v>13</v>
      </c>
      <c r="B111" s="155" t="s">
        <v>46</v>
      </c>
      <c r="C111" s="41" t="s">
        <v>229</v>
      </c>
      <c r="D111" s="155"/>
      <c r="E111" s="41">
        <f t="shared" si="207"/>
        <v>1.6659999999999999</v>
      </c>
      <c r="F111" s="160">
        <v>1.6659999999999999</v>
      </c>
      <c r="G111" s="155">
        <v>1.508</v>
      </c>
      <c r="H111" s="155"/>
      <c r="I111" s="145">
        <f t="shared" si="208"/>
        <v>2.4400000000000013</v>
      </c>
      <c r="J111" s="159">
        <f t="shared" si="209"/>
        <v>2.4400000000000013</v>
      </c>
      <c r="K111" s="154">
        <v>1.8879999999999999</v>
      </c>
      <c r="L111" s="159"/>
      <c r="M111" s="154">
        <f>M107*1.151</f>
        <v>1.365086</v>
      </c>
      <c r="N111" s="159">
        <f t="shared" si="213"/>
        <v>1.3680000000000003</v>
      </c>
      <c r="O111" s="159">
        <f t="shared" si="214"/>
        <v>1.3759999999999999</v>
      </c>
      <c r="P111" s="145"/>
      <c r="Q111" s="145"/>
      <c r="R111" s="145"/>
      <c r="S111" s="145"/>
      <c r="T111" s="145"/>
      <c r="U111" s="159"/>
      <c r="V111" s="145"/>
      <c r="W111" s="145"/>
      <c r="X111" s="145"/>
      <c r="Y111" s="145"/>
      <c r="Z111" s="145"/>
      <c r="AA111" s="145"/>
      <c r="AB111" s="145"/>
      <c r="AC111" s="145"/>
      <c r="AD111" s="145"/>
      <c r="AE111" s="145"/>
      <c r="AF111" s="145"/>
      <c r="AG111" s="145"/>
      <c r="AH111" s="145"/>
      <c r="AI111" s="145"/>
      <c r="AJ111" s="145"/>
      <c r="AK111" s="145"/>
      <c r="AL111" s="145"/>
      <c r="AM111" s="145"/>
      <c r="AN111" s="145"/>
      <c r="AO111" s="145"/>
      <c r="AP111" s="145"/>
      <c r="AQ111" s="145"/>
      <c r="AR111" s="145"/>
      <c r="AS111" s="145"/>
      <c r="AT111" s="145"/>
      <c r="AU111" s="145"/>
      <c r="AV111" s="145"/>
      <c r="AW111" s="145"/>
      <c r="AX111" s="145"/>
      <c r="AY111" s="145"/>
      <c r="AZ111" s="145"/>
      <c r="BA111" s="145"/>
      <c r="BB111" s="145"/>
      <c r="BC111" s="145"/>
      <c r="BD111" s="145"/>
      <c r="BE111" s="145"/>
      <c r="BF111" s="145"/>
      <c r="BG111" s="145"/>
      <c r="HJ111" s="155"/>
      <c r="HK111" s="155"/>
    </row>
    <row r="112" spans="1:219" s="154" customFormat="1" ht="15" x14ac:dyDescent="0.25">
      <c r="A112" s="223">
        <f t="shared" si="212"/>
        <v>14</v>
      </c>
      <c r="B112" s="155" t="s">
        <v>43</v>
      </c>
      <c r="C112" s="41" t="s">
        <v>229</v>
      </c>
      <c r="D112" s="155"/>
      <c r="E112" s="41">
        <f t="shared" si="207"/>
        <v>1.7210000000000001</v>
      </c>
      <c r="F112" s="160">
        <v>1.7210000000000001</v>
      </c>
      <c r="G112" s="155">
        <v>1.5349999999999999</v>
      </c>
      <c r="H112" s="155"/>
      <c r="I112" s="145">
        <f t="shared" si="208"/>
        <v>2.5600000000000014</v>
      </c>
      <c r="J112" s="159">
        <f t="shared" si="209"/>
        <v>2.5600000000000014</v>
      </c>
      <c r="K112" s="154">
        <v>1.968</v>
      </c>
      <c r="L112" s="159"/>
      <c r="M112" s="154">
        <f t="shared" ref="M112:M114" si="216">M108*1.151</f>
        <v>1.365086</v>
      </c>
      <c r="N112" s="159">
        <f t="shared" si="213"/>
        <v>1.4140000000000004</v>
      </c>
      <c r="O112" s="159">
        <f t="shared" si="214"/>
        <v>1.423</v>
      </c>
      <c r="P112" s="145"/>
      <c r="Q112" s="145"/>
      <c r="R112" s="145"/>
      <c r="S112" s="145"/>
      <c r="T112" s="145"/>
      <c r="U112" s="159"/>
      <c r="V112" s="145"/>
      <c r="W112" s="145"/>
      <c r="X112" s="145"/>
      <c r="Y112" s="145"/>
      <c r="Z112" s="145"/>
      <c r="AA112" s="145"/>
      <c r="AB112" s="145"/>
      <c r="AC112" s="145"/>
      <c r="AD112" s="145"/>
      <c r="AE112" s="145"/>
      <c r="AF112" s="145"/>
      <c r="AG112" s="145"/>
      <c r="AH112" s="145"/>
      <c r="AI112" s="145"/>
      <c r="AJ112" s="145"/>
      <c r="AK112" s="145"/>
      <c r="AL112" s="145"/>
      <c r="AM112" s="145"/>
      <c r="AN112" s="145"/>
      <c r="AO112" s="145"/>
      <c r="AP112" s="145"/>
      <c r="AQ112" s="145"/>
      <c r="AR112" s="145"/>
      <c r="AS112" s="145"/>
      <c r="AT112" s="145"/>
      <c r="AU112" s="145"/>
      <c r="AV112" s="145"/>
      <c r="AW112" s="145"/>
      <c r="AX112" s="145"/>
      <c r="AY112" s="145"/>
      <c r="AZ112" s="145"/>
      <c r="BA112" s="145"/>
      <c r="BB112" s="145"/>
      <c r="BC112" s="145"/>
      <c r="BD112" s="145"/>
      <c r="BE112" s="145"/>
      <c r="BF112" s="145"/>
      <c r="BG112" s="145"/>
      <c r="HJ112" s="155"/>
      <c r="HK112" s="155"/>
    </row>
    <row r="113" spans="1:219" s="154" customFormat="1" ht="15" x14ac:dyDescent="0.25">
      <c r="A113" s="223">
        <f t="shared" si="212"/>
        <v>15</v>
      </c>
      <c r="B113" s="155" t="s">
        <v>44</v>
      </c>
      <c r="C113" s="41" t="s">
        <v>229</v>
      </c>
      <c r="D113" s="155"/>
      <c r="E113" s="41">
        <f t="shared" si="207"/>
        <v>1.7769999999999999</v>
      </c>
      <c r="F113" s="160">
        <v>1.7769999999999999</v>
      </c>
      <c r="G113" s="155">
        <v>1.56</v>
      </c>
      <c r="H113" s="155"/>
      <c r="I113" s="145">
        <f t="shared" si="208"/>
        <v>2.6800000000000015</v>
      </c>
      <c r="J113" s="159">
        <f t="shared" si="209"/>
        <v>2.6800000000000015</v>
      </c>
      <c r="K113" s="154">
        <v>2.0419999999999998</v>
      </c>
      <c r="L113" s="159"/>
      <c r="M113" s="154">
        <f t="shared" si="216"/>
        <v>1.365086</v>
      </c>
      <c r="N113" s="154">
        <v>1.46</v>
      </c>
      <c r="O113" s="159">
        <f t="shared" si="214"/>
        <v>1.47</v>
      </c>
      <c r="P113" s="145"/>
      <c r="Q113" s="145"/>
      <c r="R113" s="145"/>
      <c r="S113" s="145"/>
      <c r="T113" s="145"/>
      <c r="U113" s="159"/>
      <c r="V113" s="145"/>
      <c r="W113" s="145"/>
      <c r="X113" s="145"/>
      <c r="Y113" s="145"/>
      <c r="Z113" s="145"/>
      <c r="AA113" s="145"/>
      <c r="AB113" s="145"/>
      <c r="AC113" s="145"/>
      <c r="AD113" s="145"/>
      <c r="AE113" s="145"/>
      <c r="AF113" s="145"/>
      <c r="AG113" s="145"/>
      <c r="AH113" s="145"/>
      <c r="AI113" s="145"/>
      <c r="AJ113" s="145"/>
      <c r="AK113" s="145"/>
      <c r="AL113" s="145"/>
      <c r="AM113" s="145"/>
      <c r="AN113" s="145"/>
      <c r="AO113" s="145"/>
      <c r="AP113" s="145"/>
      <c r="AQ113" s="145"/>
      <c r="AR113" s="145"/>
      <c r="AS113" s="145"/>
      <c r="AT113" s="145"/>
      <c r="AU113" s="145"/>
      <c r="AV113" s="145"/>
      <c r="AW113" s="145"/>
      <c r="AX113" s="145"/>
      <c r="AY113" s="145"/>
      <c r="AZ113" s="145"/>
      <c r="BA113" s="145"/>
      <c r="BB113" s="145"/>
      <c r="BC113" s="145"/>
      <c r="BD113" s="145"/>
      <c r="BE113" s="145"/>
      <c r="BF113" s="145"/>
      <c r="BG113" s="145"/>
      <c r="HJ113" s="155"/>
      <c r="HK113" s="155"/>
    </row>
    <row r="114" spans="1:219" s="154" customFormat="1" ht="15" x14ac:dyDescent="0.25">
      <c r="A114" s="223">
        <f t="shared" si="212"/>
        <v>16</v>
      </c>
      <c r="B114" s="155" t="s">
        <v>45</v>
      </c>
      <c r="C114" s="41" t="s">
        <v>229</v>
      </c>
      <c r="D114" s="155"/>
      <c r="E114" s="41">
        <f t="shared" si="207"/>
        <v>1.833</v>
      </c>
      <c r="F114" s="160">
        <v>1.833</v>
      </c>
      <c r="G114" s="155">
        <v>1.5880000000000001</v>
      </c>
      <c r="H114" s="155"/>
      <c r="I114" s="145">
        <f t="shared" si="208"/>
        <v>2.8000000000000016</v>
      </c>
      <c r="J114" s="159">
        <f t="shared" si="209"/>
        <v>2.8000000000000016</v>
      </c>
      <c r="K114" s="154">
        <v>2.0910000000000002</v>
      </c>
      <c r="L114" s="159"/>
      <c r="M114" s="154">
        <f t="shared" si="216"/>
        <v>1.365086</v>
      </c>
      <c r="N114" s="154">
        <v>1.5</v>
      </c>
      <c r="O114" s="159">
        <f t="shared" si="214"/>
        <v>1.5169999999999999</v>
      </c>
      <c r="P114" s="145"/>
      <c r="Q114" s="145"/>
      <c r="R114" s="145"/>
      <c r="S114" s="145"/>
      <c r="T114" s="145"/>
      <c r="U114" s="159"/>
      <c r="V114" s="145"/>
      <c r="W114" s="145"/>
      <c r="X114" s="145"/>
      <c r="Y114" s="145"/>
      <c r="Z114" s="145"/>
      <c r="AA114" s="145"/>
      <c r="AB114" s="145"/>
      <c r="AC114" s="145"/>
      <c r="AD114" s="145"/>
      <c r="AE114" s="145"/>
      <c r="AF114" s="145"/>
      <c r="AG114" s="145"/>
      <c r="AH114" s="145"/>
      <c r="AI114" s="145"/>
      <c r="AJ114" s="145"/>
      <c r="AK114" s="145"/>
      <c r="AL114" s="145"/>
      <c r="AM114" s="145"/>
      <c r="AN114" s="145"/>
      <c r="AO114" s="145"/>
      <c r="AP114" s="145"/>
      <c r="AQ114" s="145"/>
      <c r="AR114" s="145"/>
      <c r="AS114" s="145"/>
      <c r="AT114" s="145"/>
      <c r="AU114" s="145"/>
      <c r="AV114" s="145"/>
      <c r="AW114" s="145"/>
      <c r="AX114" s="145"/>
      <c r="AY114" s="145"/>
      <c r="AZ114" s="145"/>
      <c r="BA114" s="145"/>
      <c r="BB114" s="145"/>
      <c r="BC114" s="145"/>
      <c r="BD114" s="145"/>
      <c r="BE114" s="145"/>
      <c r="BF114" s="145"/>
      <c r="BG114" s="145"/>
      <c r="HJ114" s="155"/>
      <c r="HK114" s="155"/>
    </row>
    <row r="115" spans="1:219" s="154" customFormat="1" ht="15" x14ac:dyDescent="0.25">
      <c r="A115" s="223">
        <f t="shared" si="212"/>
        <v>17</v>
      </c>
      <c r="B115" s="155" t="s">
        <v>47</v>
      </c>
      <c r="C115" s="41" t="s">
        <v>228</v>
      </c>
      <c r="D115" s="155"/>
      <c r="E115" s="41">
        <f t="shared" si="207"/>
        <v>1.8879999999999999</v>
      </c>
      <c r="F115" s="160">
        <v>1.8879999999999999</v>
      </c>
      <c r="G115" s="155">
        <v>1.619</v>
      </c>
      <c r="H115" s="155"/>
      <c r="I115" s="145">
        <f t="shared" si="208"/>
        <v>2.9200000000000017</v>
      </c>
      <c r="J115" s="159">
        <f t="shared" si="209"/>
        <v>2.9200000000000017</v>
      </c>
      <c r="K115" s="154">
        <v>2.177</v>
      </c>
      <c r="M115" s="154">
        <f>M111*1.12</f>
        <v>1.5288963200000001</v>
      </c>
      <c r="N115" s="154">
        <v>1.54</v>
      </c>
      <c r="O115" s="154">
        <v>1.56</v>
      </c>
      <c r="P115" s="145"/>
      <c r="Q115" s="145"/>
      <c r="R115" s="145"/>
      <c r="S115" s="145"/>
      <c r="T115" s="145"/>
      <c r="V115" s="145"/>
      <c r="W115" s="145"/>
      <c r="X115" s="145"/>
      <c r="Y115" s="145"/>
      <c r="Z115" s="145"/>
      <c r="AA115" s="145"/>
      <c r="AB115" s="145"/>
      <c r="AC115" s="145"/>
      <c r="AD115" s="145"/>
      <c r="AE115" s="145"/>
      <c r="AF115" s="145"/>
      <c r="AG115" s="145"/>
      <c r="AH115" s="145"/>
      <c r="AI115" s="145"/>
      <c r="AJ115" s="145"/>
      <c r="AK115" s="145"/>
      <c r="AL115" s="145"/>
      <c r="AM115" s="145"/>
      <c r="AN115" s="145"/>
      <c r="AO115" s="145"/>
      <c r="AP115" s="145"/>
      <c r="AQ115" s="145"/>
      <c r="AR115" s="145"/>
      <c r="AS115" s="145"/>
      <c r="AT115" s="145"/>
      <c r="AU115" s="145"/>
      <c r="AV115" s="145"/>
      <c r="AW115" s="145"/>
      <c r="AX115" s="145"/>
      <c r="AY115" s="145"/>
      <c r="AZ115" s="145"/>
      <c r="BA115" s="145"/>
      <c r="BB115" s="145"/>
      <c r="BC115" s="145"/>
      <c r="BD115" s="145"/>
      <c r="BE115" s="145"/>
      <c r="BF115" s="145"/>
      <c r="BG115" s="145"/>
      <c r="HJ115" s="155"/>
      <c r="HK115" s="155"/>
    </row>
    <row r="116" spans="1:219" s="154" customFormat="1" ht="15" x14ac:dyDescent="0.25">
      <c r="A116" s="223">
        <f t="shared" si="212"/>
        <v>18</v>
      </c>
      <c r="B116" s="155" t="s">
        <v>48</v>
      </c>
      <c r="C116" s="41" t="s">
        <v>228</v>
      </c>
      <c r="D116" s="155"/>
      <c r="E116" s="41">
        <f t="shared" si="207"/>
        <v>1.944</v>
      </c>
      <c r="F116" s="160">
        <v>1.944</v>
      </c>
      <c r="G116" s="155">
        <v>1.6719999999999999</v>
      </c>
      <c r="H116" s="155"/>
      <c r="I116" s="145">
        <f t="shared" si="208"/>
        <v>3.0400000000000018</v>
      </c>
      <c r="J116" s="159">
        <f t="shared" si="209"/>
        <v>3.0400000000000018</v>
      </c>
      <c r="K116" s="154">
        <v>2.2389999999999999</v>
      </c>
      <c r="M116" s="154">
        <f t="shared" ref="M116:M118" si="217">M112*1.12</f>
        <v>1.5288963200000001</v>
      </c>
      <c r="N116" s="154">
        <v>1.6</v>
      </c>
      <c r="O116" s="154">
        <v>1.62</v>
      </c>
      <c r="P116" s="145"/>
      <c r="Q116" s="145"/>
      <c r="R116" s="145"/>
      <c r="S116" s="145"/>
      <c r="T116" s="145"/>
      <c r="V116" s="145"/>
      <c r="W116" s="145"/>
      <c r="X116" s="145"/>
      <c r="Y116" s="145"/>
      <c r="Z116" s="145"/>
      <c r="AA116" s="145"/>
      <c r="AB116" s="145"/>
      <c r="AC116" s="145"/>
      <c r="AD116" s="145"/>
      <c r="AE116" s="145"/>
      <c r="AF116" s="145"/>
      <c r="AG116" s="145"/>
      <c r="AH116" s="145"/>
      <c r="AI116" s="145"/>
      <c r="AJ116" s="145"/>
      <c r="AK116" s="145"/>
      <c r="AL116" s="145"/>
      <c r="AM116" s="145"/>
      <c r="AN116" s="145"/>
      <c r="AO116" s="145"/>
      <c r="AP116" s="145"/>
      <c r="AQ116" s="145"/>
      <c r="AR116" s="145"/>
      <c r="AS116" s="145"/>
      <c r="AT116" s="145"/>
      <c r="AU116" s="145"/>
      <c r="AV116" s="145"/>
      <c r="AW116" s="145"/>
      <c r="AX116" s="145"/>
      <c r="AY116" s="145"/>
      <c r="AZ116" s="145"/>
      <c r="BA116" s="145"/>
      <c r="BB116" s="145"/>
      <c r="BC116" s="145"/>
      <c r="BD116" s="145"/>
      <c r="BE116" s="145"/>
      <c r="BF116" s="145"/>
      <c r="BG116" s="145"/>
      <c r="HJ116" s="155"/>
      <c r="HK116" s="155"/>
    </row>
    <row r="117" spans="1:219" s="154" customFormat="1" ht="15" x14ac:dyDescent="0.25">
      <c r="A117" s="223">
        <f t="shared" si="212"/>
        <v>19</v>
      </c>
      <c r="B117" s="155" t="s">
        <v>49</v>
      </c>
      <c r="C117" s="41" t="s">
        <v>227</v>
      </c>
      <c r="D117" s="155"/>
      <c r="E117" s="41">
        <f t="shared" si="207"/>
        <v>1.9990000000000001</v>
      </c>
      <c r="F117" s="160">
        <v>1.9990000000000001</v>
      </c>
      <c r="G117" s="155">
        <v>1.7070000000000001</v>
      </c>
      <c r="H117" s="155"/>
      <c r="I117" s="145">
        <f t="shared" si="208"/>
        <v>3.1600000000000019</v>
      </c>
      <c r="J117" s="159">
        <f t="shared" si="209"/>
        <v>3.1600000000000019</v>
      </c>
      <c r="K117" s="154">
        <v>2.3199999999999998</v>
      </c>
      <c r="M117" s="154">
        <f t="shared" si="217"/>
        <v>1.5288963200000001</v>
      </c>
      <c r="N117" s="154">
        <v>1.64</v>
      </c>
      <c r="O117" s="154">
        <v>1.67</v>
      </c>
      <c r="P117" s="145"/>
      <c r="Q117" s="145"/>
      <c r="R117" s="145"/>
      <c r="S117" s="145"/>
      <c r="T117" s="145"/>
      <c r="V117" s="145"/>
      <c r="W117" s="145"/>
      <c r="X117" s="145"/>
      <c r="Y117" s="145"/>
      <c r="Z117" s="145"/>
      <c r="AA117" s="145"/>
      <c r="AB117" s="145"/>
      <c r="AC117" s="145"/>
      <c r="AD117" s="145"/>
      <c r="AE117" s="145"/>
      <c r="AF117" s="145"/>
      <c r="AG117" s="145"/>
      <c r="AH117" s="145"/>
      <c r="AI117" s="145"/>
      <c r="AJ117" s="145"/>
      <c r="AK117" s="145"/>
      <c r="AL117" s="145"/>
      <c r="AM117" s="145"/>
      <c r="AN117" s="145"/>
      <c r="AO117" s="145"/>
      <c r="AP117" s="145"/>
      <c r="AQ117" s="145"/>
      <c r="AR117" s="145"/>
      <c r="AS117" s="145"/>
      <c r="AT117" s="145"/>
      <c r="AU117" s="145"/>
      <c r="AV117" s="145"/>
      <c r="AW117" s="145"/>
      <c r="AX117" s="145"/>
      <c r="AY117" s="145"/>
      <c r="AZ117" s="145"/>
      <c r="BA117" s="145"/>
      <c r="BB117" s="145"/>
      <c r="BC117" s="145"/>
      <c r="BD117" s="145"/>
      <c r="BE117" s="145"/>
      <c r="BF117" s="145"/>
      <c r="BG117" s="145"/>
      <c r="HJ117" s="155"/>
      <c r="HK117" s="155"/>
    </row>
    <row r="118" spans="1:219" s="154" customFormat="1" ht="15" x14ac:dyDescent="0.25">
      <c r="A118" s="223">
        <f t="shared" si="212"/>
        <v>20</v>
      </c>
      <c r="B118" s="155" t="s">
        <v>50</v>
      </c>
      <c r="C118" s="41" t="s">
        <v>227</v>
      </c>
      <c r="D118" s="155"/>
      <c r="E118" s="41">
        <f t="shared" si="207"/>
        <v>2.0550000000000002</v>
      </c>
      <c r="F118" s="160">
        <v>2.0550000000000002</v>
      </c>
      <c r="G118" s="155">
        <v>1.7390000000000001</v>
      </c>
      <c r="H118" s="155"/>
      <c r="I118" s="145">
        <f t="shared" si="208"/>
        <v>3.280000000000002</v>
      </c>
      <c r="J118" s="159">
        <f t="shared" si="209"/>
        <v>3.280000000000002</v>
      </c>
      <c r="K118" s="154">
        <v>2.419</v>
      </c>
      <c r="M118" s="154">
        <f t="shared" si="217"/>
        <v>1.5288963200000001</v>
      </c>
      <c r="N118" s="154">
        <v>1.68</v>
      </c>
      <c r="O118" s="154">
        <v>1.71</v>
      </c>
      <c r="P118" s="145"/>
      <c r="Q118" s="145"/>
      <c r="R118" s="145"/>
      <c r="S118" s="145"/>
      <c r="T118" s="145"/>
      <c r="V118" s="145"/>
      <c r="W118" s="145"/>
      <c r="X118" s="145"/>
      <c r="Y118" s="145"/>
      <c r="Z118" s="145"/>
      <c r="AA118" s="145"/>
      <c r="AB118" s="145"/>
      <c r="AC118" s="145"/>
      <c r="AD118" s="145"/>
      <c r="AE118" s="145"/>
      <c r="AF118" s="145"/>
      <c r="AG118" s="145"/>
      <c r="AH118" s="145"/>
      <c r="AI118" s="145"/>
      <c r="AJ118" s="145"/>
      <c r="AK118" s="145"/>
      <c r="AL118" s="145"/>
      <c r="AM118" s="145"/>
      <c r="AN118" s="145"/>
      <c r="AO118" s="145"/>
      <c r="AP118" s="145"/>
      <c r="AQ118" s="145"/>
      <c r="AR118" s="145"/>
      <c r="AS118" s="145"/>
      <c r="AT118" s="145"/>
      <c r="AU118" s="145"/>
      <c r="AV118" s="145"/>
      <c r="AW118" s="145"/>
      <c r="AX118" s="145"/>
      <c r="AY118" s="145"/>
      <c r="AZ118" s="145"/>
      <c r="BA118" s="145"/>
      <c r="BB118" s="145"/>
      <c r="BC118" s="145"/>
      <c r="BD118" s="145"/>
      <c r="BE118" s="145"/>
      <c r="BF118" s="145"/>
      <c r="BG118" s="145"/>
      <c r="HJ118" s="155"/>
      <c r="HK118" s="155"/>
    </row>
    <row r="119" spans="1:219" s="154" customFormat="1" ht="15" x14ac:dyDescent="0.25">
      <c r="A119" s="223">
        <f t="shared" si="212"/>
        <v>21</v>
      </c>
      <c r="B119" s="155" t="s">
        <v>51</v>
      </c>
      <c r="C119" s="41" t="s">
        <v>199</v>
      </c>
      <c r="D119" s="155"/>
      <c r="E119" s="41">
        <f t="shared" si="207"/>
        <v>2.11</v>
      </c>
      <c r="F119" s="160">
        <v>2.11</v>
      </c>
      <c r="G119" s="155">
        <v>1.792</v>
      </c>
      <c r="H119" s="155"/>
      <c r="I119" s="145">
        <f t="shared" si="208"/>
        <v>3.4000000000000021</v>
      </c>
      <c r="J119" s="159">
        <f t="shared" si="209"/>
        <v>3.4000000000000021</v>
      </c>
      <c r="K119" s="154">
        <v>2.48</v>
      </c>
      <c r="M119" s="154">
        <f>M115*1.117</f>
        <v>1.70777718944</v>
      </c>
      <c r="N119" s="154">
        <v>1.73</v>
      </c>
      <c r="O119" s="154">
        <v>1.76</v>
      </c>
      <c r="P119" s="145"/>
      <c r="Q119" s="145"/>
      <c r="R119" s="145"/>
      <c r="S119" s="145"/>
      <c r="T119" s="145"/>
      <c r="V119" s="145"/>
      <c r="W119" s="145"/>
      <c r="X119" s="145"/>
      <c r="Y119" s="145"/>
      <c r="Z119" s="145"/>
      <c r="AA119" s="145"/>
      <c r="AB119" s="145"/>
      <c r="AC119" s="145"/>
      <c r="AD119" s="145"/>
      <c r="AE119" s="145"/>
      <c r="AF119" s="145"/>
      <c r="AG119" s="145"/>
      <c r="AH119" s="145"/>
      <c r="AI119" s="145"/>
      <c r="AJ119" s="145"/>
      <c r="AK119" s="145"/>
      <c r="AL119" s="145"/>
      <c r="AM119" s="145"/>
      <c r="AN119" s="145"/>
      <c r="AO119" s="145"/>
      <c r="AP119" s="145"/>
      <c r="AQ119" s="145"/>
      <c r="AR119" s="145"/>
      <c r="AS119" s="145"/>
      <c r="AT119" s="145"/>
      <c r="AU119" s="145"/>
      <c r="AV119" s="145"/>
      <c r="AW119" s="145"/>
      <c r="AX119" s="145"/>
      <c r="AY119" s="145"/>
      <c r="AZ119" s="145"/>
      <c r="BA119" s="145"/>
      <c r="BB119" s="145"/>
      <c r="BC119" s="145"/>
      <c r="BD119" s="145"/>
      <c r="BE119" s="145"/>
      <c r="BF119" s="145"/>
      <c r="BG119" s="145"/>
      <c r="HJ119" s="155"/>
      <c r="HK119" s="155"/>
    </row>
    <row r="120" spans="1:219" s="154" customFormat="1" ht="15" x14ac:dyDescent="0.25">
      <c r="A120" s="223">
        <f t="shared" si="212"/>
        <v>22</v>
      </c>
      <c r="B120" s="155" t="s">
        <v>52</v>
      </c>
      <c r="C120" s="41" t="s">
        <v>200</v>
      </c>
      <c r="D120" s="155"/>
      <c r="E120" s="41">
        <f t="shared" si="207"/>
        <v>2.1659999999999999</v>
      </c>
      <c r="F120" s="160">
        <v>2.1659999999999999</v>
      </c>
      <c r="G120" s="155">
        <v>1.8280000000000001</v>
      </c>
      <c r="H120" s="155"/>
      <c r="I120" s="145">
        <f t="shared" si="208"/>
        <v>3.5200000000000022</v>
      </c>
      <c r="J120" s="159">
        <f t="shared" si="209"/>
        <v>3.5200000000000022</v>
      </c>
      <c r="K120" s="154">
        <v>2.5430000000000001</v>
      </c>
      <c r="M120" s="154">
        <f t="shared" ref="M120:M122" si="218">M116*1.117</f>
        <v>1.70777718944</v>
      </c>
      <c r="N120" s="154">
        <v>1.81</v>
      </c>
      <c r="O120" s="154">
        <v>1.84</v>
      </c>
      <c r="P120" s="145"/>
      <c r="Q120" s="145"/>
      <c r="R120" s="145"/>
      <c r="S120" s="145"/>
      <c r="T120" s="145"/>
      <c r="V120" s="145"/>
      <c r="W120" s="145"/>
      <c r="X120" s="145"/>
      <c r="Y120" s="145"/>
      <c r="Z120" s="145"/>
      <c r="AA120" s="145"/>
      <c r="AB120" s="145"/>
      <c r="AC120" s="145"/>
      <c r="AD120" s="145"/>
      <c r="AE120" s="145"/>
      <c r="AF120" s="145"/>
      <c r="AG120" s="145"/>
      <c r="AH120" s="145"/>
      <c r="AI120" s="145"/>
      <c r="AJ120" s="145"/>
      <c r="AK120" s="145"/>
      <c r="AL120" s="145"/>
      <c r="AM120" s="145"/>
      <c r="AN120" s="145"/>
      <c r="AO120" s="145"/>
      <c r="AP120" s="145"/>
      <c r="AQ120" s="145"/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5"/>
      <c r="BF120" s="145"/>
      <c r="BG120" s="145"/>
      <c r="HJ120" s="155"/>
      <c r="HK120" s="155"/>
    </row>
    <row r="121" spans="1:219" s="154" customFormat="1" ht="15" x14ac:dyDescent="0.25">
      <c r="A121" s="223">
        <f t="shared" si="212"/>
        <v>23</v>
      </c>
      <c r="B121" s="155" t="s">
        <v>53</v>
      </c>
      <c r="C121" s="41" t="s">
        <v>201</v>
      </c>
      <c r="D121" s="155"/>
      <c r="E121" s="41">
        <f t="shared" si="207"/>
        <v>2.2210000000000001</v>
      </c>
      <c r="F121" s="160">
        <v>2.2210000000000001</v>
      </c>
      <c r="G121" s="155">
        <v>1.861</v>
      </c>
      <c r="H121" s="155"/>
      <c r="I121" s="145">
        <f t="shared" si="208"/>
        <v>3.6400000000000023</v>
      </c>
      <c r="J121" s="159">
        <f t="shared" si="209"/>
        <v>3.6400000000000023</v>
      </c>
      <c r="K121" s="154">
        <v>2.6040000000000001</v>
      </c>
      <c r="M121" s="154">
        <f t="shared" si="218"/>
        <v>1.70777718944</v>
      </c>
      <c r="N121" s="154">
        <v>1.87</v>
      </c>
      <c r="O121" s="154">
        <v>1.91</v>
      </c>
      <c r="P121" s="145"/>
      <c r="Q121" s="145"/>
      <c r="R121" s="145"/>
      <c r="S121" s="145"/>
      <c r="T121" s="145"/>
      <c r="V121" s="145"/>
      <c r="W121" s="145"/>
      <c r="X121" s="145"/>
      <c r="Y121" s="145"/>
      <c r="Z121" s="145"/>
      <c r="AA121" s="145"/>
      <c r="AB121" s="145"/>
      <c r="AC121" s="145"/>
      <c r="AD121" s="145"/>
      <c r="AE121" s="145"/>
      <c r="AF121" s="145"/>
      <c r="AG121" s="145"/>
      <c r="AH121" s="145"/>
      <c r="AI121" s="145"/>
      <c r="AJ121" s="145"/>
      <c r="AK121" s="145"/>
      <c r="AL121" s="145"/>
      <c r="AM121" s="145"/>
      <c r="AN121" s="145"/>
      <c r="AO121" s="145"/>
      <c r="AP121" s="145"/>
      <c r="AQ121" s="145"/>
      <c r="AR121" s="145"/>
      <c r="AS121" s="145"/>
      <c r="AT121" s="145"/>
      <c r="AU121" s="145"/>
      <c r="AV121" s="145"/>
      <c r="AW121" s="145"/>
      <c r="AX121" s="145"/>
      <c r="AY121" s="145"/>
      <c r="AZ121" s="145"/>
      <c r="BA121" s="145"/>
      <c r="BB121" s="145"/>
      <c r="BC121" s="145"/>
      <c r="BD121" s="145"/>
      <c r="BE121" s="145"/>
      <c r="BF121" s="145"/>
      <c r="BG121" s="145"/>
      <c r="HJ121" s="155"/>
      <c r="HK121" s="155"/>
    </row>
    <row r="122" spans="1:219" s="154" customFormat="1" ht="15" x14ac:dyDescent="0.25">
      <c r="A122" s="223">
        <f t="shared" si="212"/>
        <v>24</v>
      </c>
      <c r="B122" s="155" t="s">
        <v>54</v>
      </c>
      <c r="C122" s="41" t="s">
        <v>202</v>
      </c>
      <c r="D122" s="155"/>
      <c r="E122" s="41">
        <f t="shared" si="207"/>
        <v>2.2770000000000001</v>
      </c>
      <c r="F122" s="160">
        <v>2.2770000000000001</v>
      </c>
      <c r="G122" s="155">
        <v>1.8819999999999999</v>
      </c>
      <c r="H122" s="155"/>
      <c r="I122" s="145">
        <f t="shared" si="208"/>
        <v>3.7600000000000025</v>
      </c>
      <c r="J122" s="159">
        <f t="shared" si="209"/>
        <v>3.7600000000000025</v>
      </c>
      <c r="K122" s="154">
        <v>2.67</v>
      </c>
      <c r="M122" s="154">
        <f t="shared" si="218"/>
        <v>1.70777718944</v>
      </c>
      <c r="N122" s="154">
        <v>1.93</v>
      </c>
      <c r="O122" s="154">
        <v>1.99</v>
      </c>
      <c r="P122" s="145"/>
      <c r="Q122" s="145"/>
      <c r="R122" s="145"/>
      <c r="S122" s="145"/>
      <c r="T122" s="145"/>
      <c r="V122" s="145"/>
      <c r="W122" s="145"/>
      <c r="X122" s="145"/>
      <c r="Y122" s="145"/>
      <c r="Z122" s="145"/>
      <c r="AA122" s="145"/>
      <c r="AB122" s="145"/>
      <c r="AC122" s="145"/>
      <c r="AD122" s="145"/>
      <c r="AE122" s="145"/>
      <c r="AF122" s="145"/>
      <c r="AG122" s="145"/>
      <c r="AH122" s="145"/>
      <c r="AI122" s="145"/>
      <c r="AJ122" s="145"/>
      <c r="AK122" s="145"/>
      <c r="AL122" s="145"/>
      <c r="AM122" s="145"/>
      <c r="AN122" s="145"/>
      <c r="AO122" s="145"/>
      <c r="AP122" s="145"/>
      <c r="AQ122" s="145"/>
      <c r="AR122" s="145"/>
      <c r="AS122" s="145"/>
      <c r="AT122" s="145"/>
      <c r="AU122" s="145"/>
      <c r="AV122" s="145"/>
      <c r="AW122" s="145"/>
      <c r="AX122" s="145"/>
      <c r="AY122" s="145"/>
      <c r="AZ122" s="145"/>
      <c r="BA122" s="145"/>
      <c r="BB122" s="145"/>
      <c r="BC122" s="145"/>
      <c r="BD122" s="145"/>
      <c r="BE122" s="145"/>
      <c r="BF122" s="145"/>
      <c r="BG122" s="145"/>
      <c r="HJ122" s="155"/>
      <c r="HK122" s="155"/>
    </row>
    <row r="123" spans="1:219" s="154" customFormat="1" ht="15" x14ac:dyDescent="0.25">
      <c r="A123" s="223">
        <f t="shared" si="212"/>
        <v>25</v>
      </c>
      <c r="B123" s="155" t="s">
        <v>55</v>
      </c>
      <c r="C123" s="41" t="s">
        <v>203</v>
      </c>
      <c r="D123" s="155"/>
      <c r="E123" s="41">
        <f t="shared" si="207"/>
        <v>2.3319999999999999</v>
      </c>
      <c r="F123" s="160">
        <v>2.3319999999999999</v>
      </c>
      <c r="G123" s="155">
        <v>1.925</v>
      </c>
      <c r="H123" s="155"/>
      <c r="I123" s="145">
        <f t="shared" si="208"/>
        <v>3.8800000000000026</v>
      </c>
      <c r="J123" s="159">
        <f t="shared" si="209"/>
        <v>3.8800000000000026</v>
      </c>
      <c r="K123" s="154">
        <v>2.726</v>
      </c>
      <c r="M123" s="154">
        <f>M119*1.109</f>
        <v>1.89392490308896</v>
      </c>
      <c r="N123" s="154">
        <v>1.99</v>
      </c>
      <c r="O123" s="154">
        <v>2.04</v>
      </c>
      <c r="P123" s="145"/>
      <c r="Q123" s="145"/>
      <c r="R123" s="145"/>
      <c r="S123" s="145"/>
      <c r="T123" s="145"/>
      <c r="V123" s="145"/>
      <c r="W123" s="145"/>
      <c r="X123" s="145"/>
      <c r="Y123" s="145"/>
      <c r="Z123" s="145"/>
      <c r="AA123" s="145"/>
      <c r="AB123" s="145"/>
      <c r="AC123" s="145"/>
      <c r="AD123" s="145"/>
      <c r="AE123" s="145"/>
      <c r="AF123" s="145"/>
      <c r="AG123" s="145"/>
      <c r="AH123" s="145"/>
      <c r="AI123" s="145"/>
      <c r="AJ123" s="145"/>
      <c r="AK123" s="145"/>
      <c r="AL123" s="145"/>
      <c r="AM123" s="145"/>
      <c r="AN123" s="145"/>
      <c r="AO123" s="145"/>
      <c r="AP123" s="145"/>
      <c r="AQ123" s="145"/>
      <c r="AR123" s="145"/>
      <c r="AS123" s="145"/>
      <c r="AT123" s="145"/>
      <c r="AU123" s="145"/>
      <c r="AV123" s="145"/>
      <c r="AW123" s="145"/>
      <c r="AX123" s="145"/>
      <c r="AY123" s="145"/>
      <c r="AZ123" s="145"/>
      <c r="BA123" s="145"/>
      <c r="BB123" s="145"/>
      <c r="BC123" s="145"/>
      <c r="BD123" s="145"/>
      <c r="BE123" s="145"/>
      <c r="BF123" s="145"/>
      <c r="BG123" s="145"/>
      <c r="HJ123" s="155"/>
      <c r="HK123" s="155"/>
    </row>
    <row r="124" spans="1:219" s="154" customFormat="1" ht="15" x14ac:dyDescent="0.25">
      <c r="A124" s="223">
        <f t="shared" si="212"/>
        <v>26</v>
      </c>
      <c r="B124" s="155" t="s">
        <v>56</v>
      </c>
      <c r="C124" s="41" t="s">
        <v>204</v>
      </c>
      <c r="D124" s="155"/>
      <c r="E124" s="41">
        <f t="shared" si="207"/>
        <v>2.3879999999999999</v>
      </c>
      <c r="F124" s="160">
        <v>2.3879999999999999</v>
      </c>
      <c r="G124" s="155">
        <v>1.9610000000000001</v>
      </c>
      <c r="H124" s="155"/>
      <c r="I124" s="145">
        <f t="shared" si="208"/>
        <v>4.0000000000000027</v>
      </c>
      <c r="J124" s="159">
        <f t="shared" si="209"/>
        <v>4.0000000000000027</v>
      </c>
      <c r="K124" s="154">
        <v>2.7829999999999999</v>
      </c>
      <c r="M124" s="154">
        <f t="shared" ref="M124:M126" si="219">M120*1.109</f>
        <v>1.89392490308896</v>
      </c>
      <c r="N124" s="154">
        <v>2.08</v>
      </c>
      <c r="O124" s="154">
        <v>2.14</v>
      </c>
      <c r="P124" s="145"/>
      <c r="Q124" s="145"/>
      <c r="R124" s="145"/>
      <c r="S124" s="145"/>
      <c r="T124" s="145"/>
      <c r="V124" s="145"/>
      <c r="W124" s="145"/>
      <c r="X124" s="145"/>
      <c r="Y124" s="145"/>
      <c r="Z124" s="145"/>
      <c r="AA124" s="145"/>
      <c r="AB124" s="145"/>
      <c r="AC124" s="145"/>
      <c r="AD124" s="145"/>
      <c r="AE124" s="145"/>
      <c r="AF124" s="145"/>
      <c r="AG124" s="145"/>
      <c r="AH124" s="145"/>
      <c r="AI124" s="145"/>
      <c r="AJ124" s="145"/>
      <c r="AK124" s="145"/>
      <c r="AL124" s="145"/>
      <c r="AM124" s="145"/>
      <c r="AN124" s="145"/>
      <c r="AO124" s="145"/>
      <c r="AP124" s="145"/>
      <c r="AQ124" s="145"/>
      <c r="AR124" s="145"/>
      <c r="AS124" s="145"/>
      <c r="AT124" s="145"/>
      <c r="AU124" s="145"/>
      <c r="AV124" s="145"/>
      <c r="AW124" s="145"/>
      <c r="AX124" s="145"/>
      <c r="AY124" s="145"/>
      <c r="AZ124" s="145"/>
      <c r="BA124" s="145"/>
      <c r="BB124" s="145"/>
      <c r="BC124" s="145"/>
      <c r="BD124" s="145"/>
      <c r="BE124" s="145"/>
      <c r="BF124" s="145"/>
      <c r="BG124" s="145"/>
      <c r="HJ124" s="155"/>
      <c r="HK124" s="155"/>
    </row>
    <row r="125" spans="1:219" s="154" customFormat="1" ht="15" x14ac:dyDescent="0.25">
      <c r="A125" s="223">
        <f t="shared" si="212"/>
        <v>27</v>
      </c>
      <c r="B125" s="155" t="s">
        <v>57</v>
      </c>
      <c r="C125" s="41" t="s">
        <v>205</v>
      </c>
      <c r="D125" s="155"/>
      <c r="E125" s="41">
        <f t="shared" si="207"/>
        <v>2.4430000000000001</v>
      </c>
      <c r="F125" s="160">
        <v>2.4430000000000001</v>
      </c>
      <c r="G125" s="155">
        <v>1.99</v>
      </c>
      <c r="H125" s="155"/>
      <c r="I125" s="145">
        <f t="shared" si="208"/>
        <v>4.1200000000000028</v>
      </c>
      <c r="J125" s="159">
        <f t="shared" si="209"/>
        <v>4.1200000000000028</v>
      </c>
      <c r="K125" s="154">
        <v>2.8929999999999998</v>
      </c>
      <c r="M125" s="154">
        <f t="shared" si="219"/>
        <v>1.89392490308896</v>
      </c>
      <c r="N125" s="154">
        <v>2.13</v>
      </c>
      <c r="O125" s="154">
        <v>2.19</v>
      </c>
      <c r="P125" s="145"/>
      <c r="Q125" s="145"/>
      <c r="R125" s="145"/>
      <c r="S125" s="145"/>
      <c r="T125" s="145"/>
      <c r="V125" s="145"/>
      <c r="W125" s="145"/>
      <c r="X125" s="145"/>
      <c r="Y125" s="145"/>
      <c r="Z125" s="145"/>
      <c r="AA125" s="145"/>
      <c r="AB125" s="145"/>
      <c r="AC125" s="145"/>
      <c r="AD125" s="145"/>
      <c r="AE125" s="145"/>
      <c r="AF125" s="145"/>
      <c r="AG125" s="145"/>
      <c r="AH125" s="145"/>
      <c r="AI125" s="145"/>
      <c r="AJ125" s="145"/>
      <c r="AK125" s="145"/>
      <c r="AL125" s="145"/>
      <c r="AM125" s="145"/>
      <c r="AN125" s="145"/>
      <c r="AO125" s="145"/>
      <c r="AP125" s="145"/>
      <c r="AQ125" s="145"/>
      <c r="AR125" s="145"/>
      <c r="AS125" s="145"/>
      <c r="AT125" s="145"/>
      <c r="AU125" s="145"/>
      <c r="AV125" s="145"/>
      <c r="AW125" s="145"/>
      <c r="AX125" s="145"/>
      <c r="AY125" s="145"/>
      <c r="AZ125" s="145"/>
      <c r="BA125" s="145"/>
      <c r="BB125" s="145"/>
      <c r="BC125" s="145"/>
      <c r="BD125" s="145"/>
      <c r="BE125" s="145"/>
      <c r="BF125" s="145"/>
      <c r="BG125" s="145"/>
      <c r="HJ125" s="155"/>
      <c r="HK125" s="155"/>
    </row>
    <row r="126" spans="1:219" s="154" customFormat="1" ht="15" x14ac:dyDescent="0.25">
      <c r="A126" s="223">
        <f t="shared" si="212"/>
        <v>28</v>
      </c>
      <c r="B126" s="155" t="s">
        <v>58</v>
      </c>
      <c r="C126" s="41" t="s">
        <v>206</v>
      </c>
      <c r="D126" s="155"/>
      <c r="E126" s="41">
        <f t="shared" si="207"/>
        <v>2.4990000000000001</v>
      </c>
      <c r="F126" s="160">
        <v>2.4990000000000001</v>
      </c>
      <c r="G126" s="155">
        <v>2.0249999999999999</v>
      </c>
      <c r="H126" s="155"/>
      <c r="I126" s="145">
        <f t="shared" si="208"/>
        <v>4.2400000000000029</v>
      </c>
      <c r="J126" s="159">
        <f t="shared" si="209"/>
        <v>4.2400000000000029</v>
      </c>
      <c r="K126" s="154">
        <v>3.0459999999999998</v>
      </c>
      <c r="M126" s="154">
        <f t="shared" si="219"/>
        <v>1.89392490308896</v>
      </c>
      <c r="N126" s="154">
        <v>2.16</v>
      </c>
      <c r="O126" s="154">
        <v>2.2400000000000002</v>
      </c>
      <c r="P126" s="145"/>
      <c r="Q126" s="145"/>
      <c r="R126" s="145"/>
      <c r="S126" s="145"/>
      <c r="T126" s="145"/>
      <c r="V126" s="145"/>
      <c r="W126" s="145"/>
      <c r="X126" s="145"/>
      <c r="Y126" s="145"/>
      <c r="Z126" s="145"/>
      <c r="AA126" s="145"/>
      <c r="AB126" s="145"/>
      <c r="AC126" s="145"/>
      <c r="AD126" s="145"/>
      <c r="AE126" s="145"/>
      <c r="AF126" s="145"/>
      <c r="AG126" s="145"/>
      <c r="AH126" s="145"/>
      <c r="AI126" s="145"/>
      <c r="AJ126" s="145"/>
      <c r="AK126" s="145"/>
      <c r="AL126" s="145"/>
      <c r="AM126" s="145"/>
      <c r="AN126" s="145"/>
      <c r="AO126" s="145"/>
      <c r="AP126" s="145"/>
      <c r="AQ126" s="145"/>
      <c r="AR126" s="145"/>
      <c r="AS126" s="145"/>
      <c r="AT126" s="145"/>
      <c r="AU126" s="145"/>
      <c r="AV126" s="145"/>
      <c r="AW126" s="145"/>
      <c r="AX126" s="145"/>
      <c r="AY126" s="145"/>
      <c r="AZ126" s="145"/>
      <c r="BA126" s="145"/>
      <c r="BB126" s="145"/>
      <c r="BC126" s="145"/>
      <c r="BD126" s="145"/>
      <c r="BE126" s="145"/>
      <c r="BF126" s="145"/>
      <c r="BG126" s="145"/>
      <c r="HJ126" s="155"/>
      <c r="HK126" s="155"/>
    </row>
    <row r="127" spans="1:219" s="154" customFormat="1" ht="15" x14ac:dyDescent="0.25">
      <c r="A127" s="223">
        <f t="shared" si="212"/>
        <v>29</v>
      </c>
      <c r="B127" s="155" t="s">
        <v>59</v>
      </c>
      <c r="C127" s="41" t="s">
        <v>207</v>
      </c>
      <c r="D127" s="155"/>
      <c r="E127" s="41">
        <f t="shared" si="207"/>
        <v>2.5539999999999998</v>
      </c>
      <c r="F127" s="160">
        <v>2.5539999999999998</v>
      </c>
      <c r="G127" s="155">
        <v>2.085</v>
      </c>
      <c r="H127" s="155"/>
      <c r="I127" s="145">
        <f t="shared" si="208"/>
        <v>4.360000000000003</v>
      </c>
      <c r="J127" s="159">
        <f t="shared" si="209"/>
        <v>4.360000000000003</v>
      </c>
      <c r="K127" s="154">
        <v>3.1680000000000001</v>
      </c>
      <c r="M127" s="154">
        <f>M123*1.09</f>
        <v>2.0643781443669664</v>
      </c>
      <c r="N127" s="154">
        <v>2.19</v>
      </c>
      <c r="O127" s="154">
        <v>2.2799999999999998</v>
      </c>
      <c r="P127" s="145"/>
      <c r="Q127" s="145"/>
      <c r="R127" s="145"/>
      <c r="S127" s="145"/>
      <c r="T127" s="145"/>
      <c r="V127" s="145"/>
      <c r="W127" s="145"/>
      <c r="X127" s="145"/>
      <c r="Y127" s="145"/>
      <c r="Z127" s="145"/>
      <c r="AA127" s="145"/>
      <c r="AB127" s="145"/>
      <c r="AC127" s="145"/>
      <c r="AD127" s="145"/>
      <c r="AE127" s="145"/>
      <c r="AF127" s="145"/>
      <c r="AG127" s="145"/>
      <c r="AH127" s="145"/>
      <c r="AI127" s="145"/>
      <c r="AJ127" s="145"/>
      <c r="AK127" s="145"/>
      <c r="AL127" s="145"/>
      <c r="AM127" s="145"/>
      <c r="AN127" s="145"/>
      <c r="AO127" s="145"/>
      <c r="AP127" s="145"/>
      <c r="AQ127" s="145"/>
      <c r="AR127" s="145"/>
      <c r="AS127" s="145"/>
      <c r="AT127" s="145"/>
      <c r="AU127" s="145"/>
      <c r="AV127" s="145"/>
      <c r="AW127" s="145"/>
      <c r="AX127" s="145"/>
      <c r="AY127" s="145"/>
      <c r="AZ127" s="145"/>
      <c r="BA127" s="145"/>
      <c r="BB127" s="145"/>
      <c r="BC127" s="145"/>
      <c r="BD127" s="145"/>
      <c r="BE127" s="145"/>
      <c r="BF127" s="145"/>
      <c r="BG127" s="145"/>
      <c r="HJ127" s="155"/>
      <c r="HK127" s="155"/>
    </row>
    <row r="128" spans="1:219" s="154" customFormat="1" ht="15" x14ac:dyDescent="0.25">
      <c r="A128" s="223">
        <f t="shared" si="212"/>
        <v>30</v>
      </c>
      <c r="B128" s="155" t="s">
        <v>60</v>
      </c>
      <c r="C128" s="41" t="s">
        <v>208</v>
      </c>
      <c r="D128" s="155"/>
      <c r="E128" s="41">
        <f t="shared" si="207"/>
        <v>2.61</v>
      </c>
      <c r="F128" s="160">
        <v>2.61</v>
      </c>
      <c r="G128" s="155">
        <v>2.14</v>
      </c>
      <c r="H128" s="155"/>
      <c r="I128" s="145">
        <f t="shared" si="208"/>
        <v>4.4800000000000031</v>
      </c>
      <c r="J128" s="159">
        <f t="shared" si="209"/>
        <v>4.4800000000000031</v>
      </c>
      <c r="K128" s="154">
        <v>3.2829999999999999</v>
      </c>
      <c r="M128" s="154">
        <f t="shared" ref="M128:M130" si="220">M124*1.09</f>
        <v>2.0643781443669664</v>
      </c>
      <c r="N128" s="154">
        <v>2.23</v>
      </c>
      <c r="O128" s="154">
        <v>2.3199999999999998</v>
      </c>
      <c r="P128" s="145"/>
      <c r="Q128" s="145"/>
      <c r="R128" s="145"/>
      <c r="S128" s="145"/>
      <c r="T128" s="145"/>
      <c r="V128" s="145"/>
      <c r="W128" s="145"/>
      <c r="X128" s="145"/>
      <c r="Y128" s="145"/>
      <c r="Z128" s="145"/>
      <c r="AA128" s="145"/>
      <c r="AB128" s="145"/>
      <c r="AC128" s="145"/>
      <c r="AD128" s="145"/>
      <c r="AE128" s="145"/>
      <c r="AF128" s="145"/>
      <c r="AG128" s="145"/>
      <c r="AH128" s="145"/>
      <c r="AI128" s="145"/>
      <c r="AJ128" s="145"/>
      <c r="AK128" s="145"/>
      <c r="AL128" s="145"/>
      <c r="AM128" s="145"/>
      <c r="AN128" s="145"/>
      <c r="AO128" s="145"/>
      <c r="AP128" s="145"/>
      <c r="AQ128" s="145"/>
      <c r="AR128" s="145"/>
      <c r="AS128" s="145"/>
      <c r="AT128" s="145"/>
      <c r="AU128" s="145"/>
      <c r="AV128" s="145"/>
      <c r="AW128" s="145"/>
      <c r="AX128" s="145"/>
      <c r="AY128" s="145"/>
      <c r="AZ128" s="145"/>
      <c r="BA128" s="145"/>
      <c r="BB128" s="145"/>
      <c r="BC128" s="145"/>
      <c r="BD128" s="145"/>
      <c r="BE128" s="145"/>
      <c r="BF128" s="145"/>
      <c r="BG128" s="145"/>
      <c r="HJ128" s="155"/>
      <c r="HK128" s="155"/>
    </row>
    <row r="129" spans="1:219" s="154" customFormat="1" ht="15" x14ac:dyDescent="0.25">
      <c r="A129" s="223">
        <f t="shared" si="212"/>
        <v>31</v>
      </c>
      <c r="B129" s="155" t="s">
        <v>61</v>
      </c>
      <c r="C129" s="41" t="s">
        <v>209</v>
      </c>
      <c r="D129" s="155"/>
      <c r="E129" s="41">
        <f t="shared" si="207"/>
        <v>2.665</v>
      </c>
      <c r="F129" s="160">
        <v>2.665</v>
      </c>
      <c r="G129" s="155">
        <v>2.194</v>
      </c>
      <c r="H129" s="155"/>
      <c r="I129" s="145">
        <f t="shared" si="208"/>
        <v>4.6000000000000032</v>
      </c>
      <c r="J129" s="159">
        <f t="shared" si="209"/>
        <v>4.6000000000000032</v>
      </c>
      <c r="K129" s="154">
        <v>3.45</v>
      </c>
      <c r="M129" s="154">
        <f t="shared" si="220"/>
        <v>2.0643781443669664</v>
      </c>
      <c r="N129" s="154">
        <v>2.27</v>
      </c>
      <c r="O129" s="154">
        <v>2.36</v>
      </c>
      <c r="P129" s="145"/>
      <c r="Q129" s="145"/>
      <c r="R129" s="145"/>
      <c r="S129" s="145"/>
      <c r="T129" s="145"/>
      <c r="V129" s="145"/>
      <c r="W129" s="145"/>
      <c r="X129" s="145"/>
      <c r="Y129" s="145"/>
      <c r="Z129" s="145"/>
      <c r="AA129" s="145"/>
      <c r="AB129" s="145"/>
      <c r="AC129" s="145"/>
      <c r="AD129" s="145"/>
      <c r="AE129" s="145"/>
      <c r="AF129" s="145"/>
      <c r="AG129" s="145"/>
      <c r="AH129" s="145"/>
      <c r="AI129" s="145"/>
      <c r="AJ129" s="145"/>
      <c r="AK129" s="145"/>
      <c r="AL129" s="145"/>
      <c r="AM129" s="145"/>
      <c r="AN129" s="145"/>
      <c r="AO129" s="145"/>
      <c r="AP129" s="145"/>
      <c r="AQ129" s="145"/>
      <c r="AR129" s="145"/>
      <c r="AS129" s="145"/>
      <c r="AT129" s="145"/>
      <c r="AU129" s="145"/>
      <c r="AV129" s="145"/>
      <c r="AW129" s="145"/>
      <c r="AX129" s="145"/>
      <c r="AY129" s="145"/>
      <c r="AZ129" s="145"/>
      <c r="BA129" s="145"/>
      <c r="BB129" s="145"/>
      <c r="BC129" s="145"/>
      <c r="BD129" s="145"/>
      <c r="BE129" s="145"/>
      <c r="BF129" s="145"/>
      <c r="BG129" s="145"/>
      <c r="HJ129" s="155"/>
      <c r="HK129" s="155"/>
    </row>
    <row r="130" spans="1:219" s="154" customFormat="1" ht="15" x14ac:dyDescent="0.25">
      <c r="A130" s="223">
        <f t="shared" si="212"/>
        <v>32</v>
      </c>
      <c r="B130" s="155" t="s">
        <v>62</v>
      </c>
      <c r="C130" s="41" t="s">
        <v>210</v>
      </c>
      <c r="D130" s="155"/>
      <c r="E130" s="41">
        <f t="shared" si="207"/>
        <v>2.7210000000000001</v>
      </c>
      <c r="F130" s="160">
        <v>2.7210000000000001</v>
      </c>
      <c r="G130" s="155">
        <v>2.2509999999999999</v>
      </c>
      <c r="H130" s="155"/>
      <c r="I130" s="145">
        <f t="shared" si="208"/>
        <v>4.7200000000000033</v>
      </c>
      <c r="J130" s="159">
        <f t="shared" si="209"/>
        <v>4.7200000000000033</v>
      </c>
      <c r="K130" s="154">
        <v>3.6539999999999999</v>
      </c>
      <c r="M130" s="154">
        <f t="shared" si="220"/>
        <v>2.0643781443669664</v>
      </c>
      <c r="N130" s="154">
        <v>2.39</v>
      </c>
      <c r="O130" s="154">
        <v>2.46</v>
      </c>
      <c r="P130" s="145"/>
      <c r="Q130" s="145"/>
      <c r="R130" s="145"/>
      <c r="S130" s="145"/>
      <c r="T130" s="145"/>
      <c r="V130" s="145"/>
      <c r="W130" s="145"/>
      <c r="X130" s="145"/>
      <c r="Y130" s="145"/>
      <c r="Z130" s="145"/>
      <c r="AA130" s="145"/>
      <c r="AB130" s="145"/>
      <c r="AC130" s="145"/>
      <c r="AD130" s="145"/>
      <c r="AE130" s="145"/>
      <c r="AF130" s="145"/>
      <c r="AG130" s="145"/>
      <c r="AH130" s="145"/>
      <c r="AI130" s="145"/>
      <c r="AJ130" s="145"/>
      <c r="AK130" s="145"/>
      <c r="AL130" s="145"/>
      <c r="AM130" s="145"/>
      <c r="AN130" s="145"/>
      <c r="AO130" s="145"/>
      <c r="AP130" s="145"/>
      <c r="AQ130" s="145"/>
      <c r="AR130" s="145"/>
      <c r="AS130" s="145"/>
      <c r="AT130" s="145"/>
      <c r="AU130" s="145"/>
      <c r="AV130" s="145"/>
      <c r="AW130" s="145"/>
      <c r="AX130" s="145"/>
      <c r="AY130" s="145"/>
      <c r="AZ130" s="145"/>
      <c r="BA130" s="145"/>
      <c r="BB130" s="145"/>
      <c r="BC130" s="145"/>
      <c r="BD130" s="145"/>
      <c r="BE130" s="145"/>
      <c r="BF130" s="145"/>
      <c r="BG130" s="145"/>
      <c r="HJ130" s="155"/>
      <c r="HK130" s="155"/>
    </row>
    <row r="131" spans="1:219" s="154" customFormat="1" ht="15" x14ac:dyDescent="0.25">
      <c r="A131" s="223">
        <f t="shared" si="212"/>
        <v>33</v>
      </c>
      <c r="B131" s="155" t="s">
        <v>63</v>
      </c>
      <c r="C131" s="41" t="s">
        <v>211</v>
      </c>
      <c r="D131" s="155"/>
      <c r="E131" s="41">
        <f t="shared" ref="E131:E167" si="221">IF($E$96=$F$96,F131,IF($E$96=$G$96,ROUND(G131/G$99,3),1))</f>
        <v>2.7759999999999998</v>
      </c>
      <c r="F131" s="160">
        <v>2.7759999999999998</v>
      </c>
      <c r="G131" s="155">
        <v>2.351</v>
      </c>
      <c r="H131" s="155"/>
      <c r="I131" s="145">
        <f t="shared" si="208"/>
        <v>4.8400000000000034</v>
      </c>
      <c r="J131" s="159">
        <f t="shared" si="209"/>
        <v>4.8400000000000034</v>
      </c>
      <c r="K131" s="154">
        <v>3.84</v>
      </c>
      <c r="M131" s="154">
        <f>M127*1.119</f>
        <v>2.3100391435466356</v>
      </c>
      <c r="N131" s="154">
        <v>2.48</v>
      </c>
      <c r="O131" s="154">
        <v>2.54</v>
      </c>
      <c r="P131" s="145"/>
      <c r="Q131" s="145"/>
      <c r="R131" s="145"/>
      <c r="S131" s="145"/>
      <c r="T131" s="145"/>
      <c r="V131" s="145"/>
      <c r="W131" s="145"/>
      <c r="X131" s="145"/>
      <c r="Y131" s="145"/>
      <c r="Z131" s="145"/>
      <c r="AA131" s="145"/>
      <c r="AB131" s="145"/>
      <c r="AC131" s="145"/>
      <c r="AD131" s="145"/>
      <c r="AE131" s="145"/>
      <c r="AF131" s="145"/>
      <c r="AG131" s="145"/>
      <c r="AH131" s="145"/>
      <c r="AI131" s="145"/>
      <c r="AJ131" s="145"/>
      <c r="AK131" s="145"/>
      <c r="AL131" s="145"/>
      <c r="AM131" s="145"/>
      <c r="AN131" s="145"/>
      <c r="AO131" s="145"/>
      <c r="AP131" s="145"/>
      <c r="AQ131" s="145"/>
      <c r="AR131" s="145"/>
      <c r="AS131" s="145"/>
      <c r="AT131" s="145"/>
      <c r="AU131" s="145"/>
      <c r="AV131" s="145"/>
      <c r="AW131" s="145"/>
      <c r="AX131" s="145"/>
      <c r="AY131" s="145"/>
      <c r="AZ131" s="145"/>
      <c r="BA131" s="145"/>
      <c r="BB131" s="145"/>
      <c r="BC131" s="145"/>
      <c r="BD131" s="145"/>
      <c r="BE131" s="145"/>
      <c r="BF131" s="145"/>
      <c r="BG131" s="145"/>
      <c r="HJ131" s="155"/>
      <c r="HK131" s="155"/>
    </row>
    <row r="132" spans="1:219" s="154" customFormat="1" ht="15" x14ac:dyDescent="0.25">
      <c r="A132" s="223">
        <f t="shared" si="212"/>
        <v>34</v>
      </c>
      <c r="B132" s="155" t="s">
        <v>64</v>
      </c>
      <c r="C132" s="41" t="s">
        <v>212</v>
      </c>
      <c r="D132" s="155"/>
      <c r="E132" s="41">
        <f t="shared" si="221"/>
        <v>2.831</v>
      </c>
      <c r="F132" s="155">
        <v>2.831</v>
      </c>
      <c r="G132" s="155">
        <v>2.4340000000000002</v>
      </c>
      <c r="H132" s="155"/>
      <c r="I132" s="145">
        <f t="shared" si="208"/>
        <v>4.9600000000000035</v>
      </c>
      <c r="J132" s="159">
        <f t="shared" si="209"/>
        <v>4.9600000000000035</v>
      </c>
      <c r="K132" s="154">
        <v>3.976</v>
      </c>
      <c r="M132" s="154">
        <f t="shared" ref="M132:M134" si="222">M128*1.119</f>
        <v>2.3100391435466356</v>
      </c>
      <c r="N132" s="154">
        <v>2.58</v>
      </c>
      <c r="O132" s="154">
        <v>2.64</v>
      </c>
      <c r="P132" s="145"/>
      <c r="Q132" s="145"/>
      <c r="R132" s="145"/>
      <c r="S132" s="145"/>
      <c r="T132" s="145"/>
      <c r="V132" s="145"/>
      <c r="W132" s="145"/>
      <c r="X132" s="145"/>
      <c r="Y132" s="145"/>
      <c r="Z132" s="145"/>
      <c r="AA132" s="145"/>
      <c r="AB132" s="145"/>
      <c r="AC132" s="145"/>
      <c r="AD132" s="145"/>
      <c r="AE132" s="145"/>
      <c r="AF132" s="145"/>
      <c r="AG132" s="145"/>
      <c r="AH132" s="145"/>
      <c r="AI132" s="145"/>
      <c r="AJ132" s="145"/>
      <c r="AK132" s="145"/>
      <c r="AL132" s="145"/>
      <c r="AM132" s="145"/>
      <c r="AN132" s="145"/>
      <c r="AO132" s="145"/>
      <c r="AP132" s="145"/>
      <c r="AQ132" s="145"/>
      <c r="AR132" s="145"/>
      <c r="AS132" s="145"/>
      <c r="AT132" s="145"/>
      <c r="AU132" s="145"/>
      <c r="AV132" s="145"/>
      <c r="AW132" s="145"/>
      <c r="AX132" s="145"/>
      <c r="AY132" s="145"/>
      <c r="AZ132" s="145"/>
      <c r="BA132" s="145"/>
      <c r="BB132" s="145"/>
      <c r="BC132" s="145"/>
      <c r="BD132" s="145"/>
      <c r="BE132" s="145"/>
      <c r="BF132" s="145"/>
      <c r="BG132" s="145"/>
      <c r="HJ132" s="155"/>
      <c r="HK132" s="155"/>
    </row>
    <row r="133" spans="1:219" s="154" customFormat="1" ht="15" x14ac:dyDescent="0.25">
      <c r="A133" s="223">
        <f t="shared" si="212"/>
        <v>35</v>
      </c>
      <c r="B133" s="155" t="s">
        <v>65</v>
      </c>
      <c r="C133" s="41" t="s">
        <v>213</v>
      </c>
      <c r="D133" s="155"/>
      <c r="E133" s="41">
        <f>IF($E$96=$F$96,F133,IF($E$96=$G$96,ROUND(G133/G$99,3),1))</f>
        <v>2.89</v>
      </c>
      <c r="F133" s="155">
        <v>2.89</v>
      </c>
      <c r="G133" s="155">
        <v>2.548</v>
      </c>
      <c r="H133" s="155"/>
      <c r="I133" s="145">
        <f t="shared" si="208"/>
        <v>5.08</v>
      </c>
      <c r="J133" s="154">
        <v>5.08</v>
      </c>
      <c r="K133" s="154">
        <v>4.1660000000000004</v>
      </c>
      <c r="M133" s="154">
        <f t="shared" si="222"/>
        <v>2.3100391435466356</v>
      </c>
      <c r="N133" s="154">
        <v>2.69</v>
      </c>
      <c r="O133" s="154">
        <v>2.75</v>
      </c>
      <c r="P133" s="145"/>
      <c r="Q133" s="145"/>
      <c r="R133" s="145"/>
      <c r="S133" s="145"/>
      <c r="T133" s="145"/>
      <c r="V133" s="145"/>
      <c r="W133" s="145"/>
      <c r="X133" s="145"/>
      <c r="Y133" s="145"/>
      <c r="Z133" s="145"/>
      <c r="AA133" s="145"/>
      <c r="AB133" s="145"/>
      <c r="AC133" s="145"/>
      <c r="AD133" s="145"/>
      <c r="AE133" s="145"/>
      <c r="AF133" s="145"/>
      <c r="AG133" s="145"/>
      <c r="AH133" s="145"/>
      <c r="AI133" s="145"/>
      <c r="AJ133" s="145"/>
      <c r="AK133" s="145"/>
      <c r="AL133" s="145"/>
      <c r="AM133" s="145"/>
      <c r="AN133" s="145"/>
      <c r="AO133" s="145"/>
      <c r="AP133" s="145"/>
      <c r="AQ133" s="145"/>
      <c r="AR133" s="145"/>
      <c r="AS133" s="145"/>
      <c r="AT133" s="145"/>
      <c r="AU133" s="145"/>
      <c r="AV133" s="145"/>
      <c r="AW133" s="145"/>
      <c r="AX133" s="145"/>
      <c r="AY133" s="145"/>
      <c r="AZ133" s="145"/>
      <c r="BA133" s="145"/>
      <c r="BB133" s="145"/>
      <c r="BC133" s="145"/>
      <c r="BD133" s="145"/>
      <c r="BE133" s="145"/>
      <c r="BF133" s="145"/>
      <c r="BG133" s="145"/>
      <c r="HJ133" s="155"/>
      <c r="HK133" s="155"/>
    </row>
    <row r="134" spans="1:219" s="154" customFormat="1" ht="15" x14ac:dyDescent="0.25">
      <c r="A134" s="223">
        <f t="shared" si="212"/>
        <v>36</v>
      </c>
      <c r="B134" s="155" t="s">
        <v>66</v>
      </c>
      <c r="C134" s="41" t="s">
        <v>214</v>
      </c>
      <c r="D134" s="155"/>
      <c r="E134" s="41">
        <f t="shared" si="221"/>
        <v>2.92</v>
      </c>
      <c r="F134" s="155">
        <v>2.92</v>
      </c>
      <c r="G134" s="155">
        <v>2.601</v>
      </c>
      <c r="H134" s="155"/>
      <c r="I134" s="145">
        <f t="shared" si="208"/>
        <v>5.14</v>
      </c>
      <c r="J134" s="154">
        <v>5.14</v>
      </c>
      <c r="K134" s="154">
        <v>4.3170000000000002</v>
      </c>
      <c r="M134" s="154">
        <f t="shared" si="222"/>
        <v>2.3100391435466356</v>
      </c>
      <c r="N134" s="154">
        <v>2.76</v>
      </c>
      <c r="O134" s="154">
        <v>2.83</v>
      </c>
      <c r="P134" s="145"/>
      <c r="Q134" s="145"/>
      <c r="R134" s="145"/>
      <c r="S134" s="145"/>
      <c r="T134" s="145"/>
      <c r="V134" s="145"/>
      <c r="W134" s="145"/>
      <c r="X134" s="145"/>
      <c r="Y134" s="145"/>
      <c r="Z134" s="145"/>
      <c r="AA134" s="145"/>
      <c r="AB134" s="145"/>
      <c r="AC134" s="145"/>
      <c r="AD134" s="145"/>
      <c r="AE134" s="145"/>
      <c r="AF134" s="145"/>
      <c r="AG134" s="145"/>
      <c r="AH134" s="145"/>
      <c r="AI134" s="145"/>
      <c r="AJ134" s="145"/>
      <c r="AK134" s="145"/>
      <c r="AL134" s="145"/>
      <c r="AM134" s="145"/>
      <c r="AN134" s="145"/>
      <c r="AO134" s="145"/>
      <c r="AP134" s="145"/>
      <c r="AQ134" s="145"/>
      <c r="AR134" s="145"/>
      <c r="AS134" s="145"/>
      <c r="AT134" s="145"/>
      <c r="AU134" s="145"/>
      <c r="AV134" s="145"/>
      <c r="AW134" s="145"/>
      <c r="AX134" s="145"/>
      <c r="AY134" s="145"/>
      <c r="AZ134" s="145"/>
      <c r="BA134" s="145"/>
      <c r="BB134" s="145"/>
      <c r="BC134" s="145"/>
      <c r="BD134" s="145"/>
      <c r="BE134" s="145"/>
      <c r="BF134" s="145"/>
      <c r="BG134" s="145"/>
      <c r="HJ134" s="155"/>
      <c r="HK134" s="155"/>
    </row>
    <row r="135" spans="1:219" s="154" customFormat="1" ht="15" x14ac:dyDescent="0.25">
      <c r="A135" s="223">
        <f t="shared" si="212"/>
        <v>37</v>
      </c>
      <c r="B135" s="155" t="s">
        <v>67</v>
      </c>
      <c r="C135" s="41" t="s">
        <v>215</v>
      </c>
      <c r="D135" s="155"/>
      <c r="E135" s="41">
        <f t="shared" si="221"/>
        <v>3.07</v>
      </c>
      <c r="F135" s="155">
        <v>3.07</v>
      </c>
      <c r="G135" s="155">
        <v>2.65</v>
      </c>
      <c r="H135" s="155"/>
      <c r="I135" s="145">
        <f t="shared" si="208"/>
        <v>5.47</v>
      </c>
      <c r="J135" s="154">
        <v>5.47</v>
      </c>
      <c r="K135" s="154">
        <v>4.3140000000000001</v>
      </c>
      <c r="M135" s="154">
        <f>M131*1.133</f>
        <v>2.6172743496383384</v>
      </c>
      <c r="N135" s="154">
        <v>2.83</v>
      </c>
      <c r="O135" s="154">
        <v>2.9</v>
      </c>
      <c r="P135" s="145"/>
      <c r="Q135" s="145"/>
      <c r="R135" s="145"/>
      <c r="S135" s="145"/>
      <c r="T135" s="145"/>
      <c r="V135" s="145"/>
      <c r="W135" s="145"/>
      <c r="X135" s="145"/>
      <c r="Y135" s="145"/>
      <c r="Z135" s="145"/>
      <c r="AA135" s="145"/>
      <c r="AB135" s="145"/>
      <c r="AC135" s="145"/>
      <c r="AD135" s="145"/>
      <c r="AE135" s="145"/>
      <c r="AF135" s="145"/>
      <c r="AG135" s="145"/>
      <c r="AH135" s="145"/>
      <c r="AI135" s="145"/>
      <c r="AJ135" s="145"/>
      <c r="AK135" s="145"/>
      <c r="AL135" s="145"/>
      <c r="AM135" s="145"/>
      <c r="AN135" s="145"/>
      <c r="AO135" s="145"/>
      <c r="AP135" s="145"/>
      <c r="AQ135" s="145"/>
      <c r="AR135" s="145"/>
      <c r="AS135" s="145"/>
      <c r="AT135" s="145"/>
      <c r="AU135" s="145"/>
      <c r="AV135" s="145"/>
      <c r="AW135" s="145"/>
      <c r="AX135" s="145"/>
      <c r="AY135" s="145"/>
      <c r="AZ135" s="145"/>
      <c r="BA135" s="145"/>
      <c r="BB135" s="145"/>
      <c r="BC135" s="145"/>
      <c r="BD135" s="145"/>
      <c r="BE135" s="145"/>
      <c r="BF135" s="145"/>
      <c r="BG135" s="145"/>
      <c r="HJ135" s="155"/>
      <c r="HK135" s="155"/>
    </row>
    <row r="136" spans="1:219" s="154" customFormat="1" ht="15" x14ac:dyDescent="0.25">
      <c r="A136" s="223">
        <f t="shared" si="212"/>
        <v>38</v>
      </c>
      <c r="B136" s="155" t="s">
        <v>68</v>
      </c>
      <c r="C136" s="41" t="s">
        <v>216</v>
      </c>
      <c r="D136" s="155"/>
      <c r="E136" s="41">
        <f t="shared" si="221"/>
        <v>3.01</v>
      </c>
      <c r="F136" s="155">
        <v>3.01</v>
      </c>
      <c r="G136" s="155">
        <v>2.665</v>
      </c>
      <c r="H136" s="155"/>
      <c r="I136" s="145">
        <f t="shared" si="208"/>
        <v>5.44</v>
      </c>
      <c r="J136" s="154">
        <v>5.44</v>
      </c>
      <c r="K136" s="154">
        <v>4.2789999999999999</v>
      </c>
      <c r="M136" s="154">
        <f t="shared" ref="M136:M138" si="223">M132*1.133</f>
        <v>2.6172743496383384</v>
      </c>
      <c r="N136" s="154">
        <v>2.97</v>
      </c>
      <c r="O136" s="154">
        <v>3.03</v>
      </c>
      <c r="P136" s="145"/>
      <c r="Q136" s="145"/>
      <c r="R136" s="145"/>
      <c r="S136" s="145"/>
      <c r="T136" s="145"/>
      <c r="V136" s="145"/>
      <c r="W136" s="145"/>
      <c r="X136" s="145"/>
      <c r="Y136" s="145"/>
      <c r="Z136" s="145"/>
      <c r="AA136" s="145"/>
      <c r="AB136" s="145"/>
      <c r="AC136" s="145"/>
      <c r="AD136" s="145"/>
      <c r="AE136" s="145"/>
      <c r="AF136" s="145"/>
      <c r="AG136" s="145"/>
      <c r="AH136" s="145"/>
      <c r="AI136" s="145"/>
      <c r="AJ136" s="145"/>
      <c r="AK136" s="145"/>
      <c r="AL136" s="145"/>
      <c r="AM136" s="145"/>
      <c r="AN136" s="145"/>
      <c r="AO136" s="145"/>
      <c r="AP136" s="145"/>
      <c r="AQ136" s="145"/>
      <c r="AR136" s="145"/>
      <c r="AS136" s="145"/>
      <c r="AT136" s="145"/>
      <c r="AU136" s="145"/>
      <c r="AV136" s="145"/>
      <c r="AW136" s="145"/>
      <c r="AX136" s="145"/>
      <c r="AY136" s="145"/>
      <c r="AZ136" s="145"/>
      <c r="BA136" s="145"/>
      <c r="BB136" s="145"/>
      <c r="BC136" s="145"/>
      <c r="BD136" s="145"/>
      <c r="BE136" s="145"/>
      <c r="BF136" s="145"/>
      <c r="BG136" s="145"/>
      <c r="HJ136" s="155"/>
      <c r="HK136" s="155"/>
    </row>
    <row r="137" spans="1:219" s="154" customFormat="1" ht="15" x14ac:dyDescent="0.25">
      <c r="A137" s="223">
        <f t="shared" si="212"/>
        <v>39</v>
      </c>
      <c r="B137" s="155" t="s">
        <v>69</v>
      </c>
      <c r="C137" s="41" t="s">
        <v>217</v>
      </c>
      <c r="D137" s="155"/>
      <c r="E137" s="41">
        <f t="shared" si="221"/>
        <v>3.12</v>
      </c>
      <c r="F137" s="155">
        <v>3.12</v>
      </c>
      <c r="G137" s="155">
        <v>2.6760000000000002</v>
      </c>
      <c r="H137" s="155"/>
      <c r="I137" s="145">
        <f t="shared" si="208"/>
        <v>5.6</v>
      </c>
      <c r="J137" s="154">
        <v>5.6</v>
      </c>
      <c r="K137" s="154">
        <v>4.3559999999999999</v>
      </c>
      <c r="M137" s="154">
        <f t="shared" si="223"/>
        <v>2.6172743496383384</v>
      </c>
      <c r="N137" s="154">
        <v>3.03</v>
      </c>
      <c r="O137" s="154">
        <v>3.09</v>
      </c>
      <c r="P137" s="145"/>
      <c r="Q137" s="145"/>
      <c r="R137" s="145"/>
      <c r="S137" s="145"/>
      <c r="T137" s="145"/>
      <c r="V137" s="145"/>
      <c r="W137" s="145"/>
      <c r="X137" s="145"/>
      <c r="Y137" s="145"/>
      <c r="Z137" s="145"/>
      <c r="AA137" s="145"/>
      <c r="AB137" s="145"/>
      <c r="AC137" s="145"/>
      <c r="AD137" s="145"/>
      <c r="AE137" s="145"/>
      <c r="AF137" s="145"/>
      <c r="AG137" s="145"/>
      <c r="AH137" s="145"/>
      <c r="AI137" s="145"/>
      <c r="AJ137" s="145"/>
      <c r="AK137" s="145"/>
      <c r="AL137" s="145"/>
      <c r="AM137" s="145"/>
      <c r="AN137" s="145"/>
      <c r="AO137" s="145"/>
      <c r="AP137" s="145"/>
      <c r="AQ137" s="145"/>
      <c r="AR137" s="145"/>
      <c r="AS137" s="145"/>
      <c r="AT137" s="145"/>
      <c r="AU137" s="145"/>
      <c r="AV137" s="145"/>
      <c r="AW137" s="145"/>
      <c r="AX137" s="145"/>
      <c r="AY137" s="145"/>
      <c r="AZ137" s="145"/>
      <c r="BA137" s="145"/>
      <c r="BB137" s="145"/>
      <c r="BC137" s="145"/>
      <c r="BD137" s="145"/>
      <c r="BE137" s="145"/>
      <c r="BF137" s="145"/>
      <c r="BG137" s="145"/>
      <c r="HJ137" s="155"/>
      <c r="HK137" s="155"/>
    </row>
    <row r="138" spans="1:219" s="154" customFormat="1" ht="15" x14ac:dyDescent="0.25">
      <c r="A138" s="223">
        <f t="shared" si="212"/>
        <v>40</v>
      </c>
      <c r="B138" s="155" t="s">
        <v>70</v>
      </c>
      <c r="C138" s="41" t="s">
        <v>218</v>
      </c>
      <c r="D138" s="155"/>
      <c r="E138" s="41">
        <f t="shared" si="221"/>
        <v>3.16</v>
      </c>
      <c r="F138" s="155">
        <v>3.16</v>
      </c>
      <c r="G138" s="155">
        <v>2.6789999999999998</v>
      </c>
      <c r="H138" s="155"/>
      <c r="I138" s="145">
        <f t="shared" si="208"/>
        <v>5.69</v>
      </c>
      <c r="J138" s="154">
        <v>5.69</v>
      </c>
      <c r="K138" s="154">
        <v>4.3689999999999998</v>
      </c>
      <c r="M138" s="154">
        <f t="shared" si="223"/>
        <v>2.6172743496383384</v>
      </c>
      <c r="N138" s="154">
        <v>3.08</v>
      </c>
      <c r="O138" s="154">
        <v>3.14</v>
      </c>
      <c r="P138" s="145"/>
      <c r="Q138" s="145"/>
      <c r="R138" s="145"/>
      <c r="S138" s="145"/>
      <c r="T138" s="145"/>
      <c r="V138" s="145"/>
      <c r="W138" s="145"/>
      <c r="X138" s="145"/>
      <c r="Y138" s="145"/>
      <c r="Z138" s="145"/>
      <c r="AA138" s="145"/>
      <c r="AB138" s="145"/>
      <c r="AC138" s="145"/>
      <c r="AD138" s="145"/>
      <c r="AE138" s="145"/>
      <c r="AF138" s="145"/>
      <c r="AG138" s="145"/>
      <c r="AH138" s="145"/>
      <c r="AI138" s="145"/>
      <c r="AJ138" s="145"/>
      <c r="AK138" s="145"/>
      <c r="AL138" s="145"/>
      <c r="AM138" s="145"/>
      <c r="AN138" s="145"/>
      <c r="AO138" s="145"/>
      <c r="AP138" s="145"/>
      <c r="AQ138" s="145"/>
      <c r="AR138" s="145"/>
      <c r="AS138" s="145"/>
      <c r="AT138" s="145"/>
      <c r="AU138" s="145"/>
      <c r="AV138" s="145"/>
      <c r="AW138" s="145"/>
      <c r="AX138" s="145"/>
      <c r="AY138" s="145"/>
      <c r="AZ138" s="145"/>
      <c r="BA138" s="145"/>
      <c r="BB138" s="145"/>
      <c r="BC138" s="145"/>
      <c r="BD138" s="145"/>
      <c r="BE138" s="145"/>
      <c r="BF138" s="145"/>
      <c r="BG138" s="145"/>
      <c r="HJ138" s="155"/>
      <c r="HK138" s="155"/>
    </row>
    <row r="139" spans="1:219" s="154" customFormat="1" ht="15" x14ac:dyDescent="0.25">
      <c r="A139" s="223">
        <f t="shared" si="212"/>
        <v>41</v>
      </c>
      <c r="B139" s="155" t="s">
        <v>71</v>
      </c>
      <c r="C139" s="41" t="s">
        <v>219</v>
      </c>
      <c r="D139" s="155"/>
      <c r="E139" s="41">
        <f t="shared" si="221"/>
        <v>3.15</v>
      </c>
      <c r="F139" s="155">
        <v>3.15</v>
      </c>
      <c r="G139" s="155">
        <v>2.7109999999999999</v>
      </c>
      <c r="H139" s="155"/>
      <c r="I139" s="145">
        <f>IF($E$96=$F$96,J139,IF($E$96=$G$96,ROUND(K139/K$99,3),1))</f>
        <v>5.8</v>
      </c>
      <c r="J139" s="154">
        <v>5.8</v>
      </c>
      <c r="K139" s="154">
        <v>4.4660000000000002</v>
      </c>
      <c r="M139" s="154">
        <f>M135*1.088</f>
        <v>2.8475944924065124</v>
      </c>
      <c r="N139" s="154">
        <v>3.05</v>
      </c>
      <c r="O139" s="154">
        <v>3.11</v>
      </c>
      <c r="P139" s="145"/>
      <c r="Q139" s="145"/>
      <c r="R139" s="145"/>
      <c r="S139" s="145"/>
      <c r="T139" s="145"/>
      <c r="V139" s="145"/>
      <c r="W139" s="145"/>
      <c r="X139" s="145"/>
      <c r="Y139" s="145"/>
      <c r="Z139" s="145"/>
      <c r="AA139" s="145"/>
      <c r="AB139" s="145"/>
      <c r="AC139" s="145"/>
      <c r="AD139" s="145"/>
      <c r="AE139" s="145"/>
      <c r="AF139" s="145"/>
      <c r="AG139" s="145"/>
      <c r="AH139" s="145"/>
      <c r="AI139" s="145"/>
      <c r="AJ139" s="145"/>
      <c r="AK139" s="145"/>
      <c r="AL139" s="145"/>
      <c r="AM139" s="145"/>
      <c r="AN139" s="145"/>
      <c r="AO139" s="145"/>
      <c r="AP139" s="145"/>
      <c r="AQ139" s="145"/>
      <c r="AR139" s="145"/>
      <c r="AS139" s="145"/>
      <c r="AT139" s="145"/>
      <c r="AU139" s="145"/>
      <c r="AV139" s="145"/>
      <c r="AW139" s="145"/>
      <c r="AX139" s="145"/>
      <c r="AY139" s="145"/>
      <c r="AZ139" s="145"/>
      <c r="BA139" s="145"/>
      <c r="BB139" s="145"/>
      <c r="BC139" s="145"/>
      <c r="BD139" s="145"/>
      <c r="BE139" s="145"/>
      <c r="BF139" s="145"/>
      <c r="BG139" s="145"/>
      <c r="HJ139" s="155"/>
      <c r="HK139" s="155"/>
    </row>
    <row r="140" spans="1:219" s="154" customFormat="1" ht="15" x14ac:dyDescent="0.25">
      <c r="A140" s="223">
        <f t="shared" si="212"/>
        <v>42</v>
      </c>
      <c r="B140" s="155" t="s">
        <v>72</v>
      </c>
      <c r="C140" s="41" t="s">
        <v>220</v>
      </c>
      <c r="D140" s="155"/>
      <c r="E140" s="41">
        <f t="shared" si="221"/>
        <v>3.14</v>
      </c>
      <c r="F140" s="155">
        <v>3.14</v>
      </c>
      <c r="G140" s="155">
        <v>2.7629999999999999</v>
      </c>
      <c r="H140" s="155"/>
      <c r="I140" s="145">
        <f t="shared" ref="I140:I182" si="224">IF($E$96=$F$96,J140,IF($E$96=$G$96,ROUND(K140/K$99,3),1))</f>
        <v>5.77</v>
      </c>
      <c r="J140" s="154">
        <v>5.77</v>
      </c>
      <c r="M140" s="154">
        <f t="shared" ref="M140:M142" si="225">M136*1.088</f>
        <v>2.8475944924065124</v>
      </c>
      <c r="N140" s="154">
        <v>3.05</v>
      </c>
      <c r="O140" s="154">
        <v>3.11</v>
      </c>
      <c r="P140" s="145"/>
      <c r="Q140" s="145"/>
      <c r="R140" s="145"/>
      <c r="S140" s="145"/>
      <c r="T140" s="145"/>
      <c r="V140" s="145"/>
      <c r="W140" s="145"/>
      <c r="X140" s="145"/>
      <c r="Y140" s="145"/>
      <c r="Z140" s="145"/>
      <c r="AA140" s="145"/>
      <c r="AB140" s="145"/>
      <c r="AC140" s="145"/>
      <c r="AD140" s="145"/>
      <c r="AE140" s="145"/>
      <c r="AF140" s="145"/>
      <c r="AG140" s="145"/>
      <c r="AH140" s="145"/>
      <c r="AI140" s="145"/>
      <c r="AJ140" s="145"/>
      <c r="AK140" s="145"/>
      <c r="AL140" s="145"/>
      <c r="AM140" s="145"/>
      <c r="AN140" s="145"/>
      <c r="AO140" s="145"/>
      <c r="AP140" s="145"/>
      <c r="AQ140" s="145"/>
      <c r="AR140" s="145"/>
      <c r="AS140" s="145"/>
      <c r="AT140" s="145"/>
      <c r="AU140" s="145"/>
      <c r="AV140" s="145"/>
      <c r="AW140" s="145"/>
      <c r="AX140" s="145"/>
      <c r="AY140" s="145"/>
      <c r="AZ140" s="145"/>
      <c r="BA140" s="145"/>
      <c r="BB140" s="145"/>
      <c r="BC140" s="145"/>
      <c r="BD140" s="145"/>
      <c r="BE140" s="145"/>
      <c r="BF140" s="145"/>
      <c r="BG140" s="145"/>
      <c r="HJ140" s="155"/>
      <c r="HK140" s="155"/>
    </row>
    <row r="141" spans="1:219" s="154" customFormat="1" ht="15" x14ac:dyDescent="0.25">
      <c r="A141" s="223">
        <f t="shared" si="212"/>
        <v>43</v>
      </c>
      <c r="B141" s="155" t="s">
        <v>73</v>
      </c>
      <c r="C141" s="41" t="s">
        <v>221</v>
      </c>
      <c r="D141" s="155"/>
      <c r="E141" s="41">
        <f t="shared" si="221"/>
        <v>3.27</v>
      </c>
      <c r="F141" s="155">
        <v>3.27</v>
      </c>
      <c r="G141" s="155">
        <v>2.806</v>
      </c>
      <c r="H141" s="155"/>
      <c r="I141" s="145">
        <f t="shared" si="224"/>
        <v>6.03</v>
      </c>
      <c r="J141" s="154">
        <v>6.03</v>
      </c>
      <c r="M141" s="154">
        <f t="shared" si="225"/>
        <v>2.8475944924065124</v>
      </c>
      <c r="N141" s="154">
        <v>3.13</v>
      </c>
      <c r="O141" s="154">
        <v>3.19</v>
      </c>
      <c r="P141" s="145"/>
      <c r="Q141" s="145"/>
      <c r="R141" s="145"/>
      <c r="S141" s="145"/>
      <c r="T141" s="145"/>
      <c r="V141" s="145"/>
      <c r="W141" s="145"/>
      <c r="X141" s="145"/>
      <c r="Y141" s="145"/>
      <c r="Z141" s="145"/>
      <c r="AA141" s="145"/>
      <c r="AB141" s="145"/>
      <c r="AC141" s="145"/>
      <c r="AD141" s="145"/>
      <c r="AE141" s="145"/>
      <c r="AF141" s="145"/>
      <c r="AG141" s="145"/>
      <c r="AH141" s="145"/>
      <c r="AI141" s="145"/>
      <c r="AJ141" s="145"/>
      <c r="AK141" s="145"/>
      <c r="AL141" s="145"/>
      <c r="AM141" s="145"/>
      <c r="AN141" s="145"/>
      <c r="AO141" s="145"/>
      <c r="AP141" s="145"/>
      <c r="AQ141" s="145"/>
      <c r="AR141" s="145"/>
      <c r="AS141" s="145"/>
      <c r="AT141" s="145"/>
      <c r="AU141" s="145"/>
      <c r="AV141" s="145"/>
      <c r="AW141" s="145"/>
      <c r="AX141" s="145"/>
      <c r="AY141" s="145"/>
      <c r="AZ141" s="145"/>
      <c r="BA141" s="145"/>
      <c r="BB141" s="145"/>
      <c r="BC141" s="145"/>
      <c r="BD141" s="145"/>
      <c r="BE141" s="145"/>
      <c r="BF141" s="145"/>
      <c r="BG141" s="145"/>
      <c r="HJ141" s="155"/>
      <c r="HK141" s="155"/>
    </row>
    <row r="142" spans="1:219" s="154" customFormat="1" ht="15" x14ac:dyDescent="0.25">
      <c r="A142" s="223">
        <f t="shared" si="212"/>
        <v>44</v>
      </c>
      <c r="B142" s="155" t="s">
        <v>74</v>
      </c>
      <c r="C142" s="41" t="s">
        <v>222</v>
      </c>
      <c r="D142" s="155"/>
      <c r="E142" s="41">
        <f t="shared" si="221"/>
        <v>3.27</v>
      </c>
      <c r="F142" s="155">
        <v>3.27</v>
      </c>
      <c r="G142" s="155">
        <v>2.8370000000000002</v>
      </c>
      <c r="H142" s="155"/>
      <c r="I142" s="145">
        <f t="shared" si="224"/>
        <v>6.03</v>
      </c>
      <c r="J142" s="154">
        <v>6.03</v>
      </c>
      <c r="M142" s="154">
        <f t="shared" si="225"/>
        <v>2.8475944924065124</v>
      </c>
      <c r="N142" s="154">
        <v>3.13</v>
      </c>
      <c r="O142" s="154">
        <v>3.19</v>
      </c>
      <c r="P142" s="145"/>
      <c r="Q142" s="145"/>
      <c r="R142" s="145"/>
      <c r="S142" s="145"/>
      <c r="T142" s="145"/>
      <c r="V142" s="145"/>
      <c r="W142" s="145"/>
      <c r="X142" s="145"/>
      <c r="Y142" s="145"/>
      <c r="Z142" s="145"/>
      <c r="AA142" s="145"/>
      <c r="AB142" s="145"/>
      <c r="AC142" s="145"/>
      <c r="AD142" s="145"/>
      <c r="AE142" s="145"/>
      <c r="AF142" s="145"/>
      <c r="AG142" s="145"/>
      <c r="AH142" s="145"/>
      <c r="AI142" s="145"/>
      <c r="AJ142" s="145"/>
      <c r="AK142" s="145"/>
      <c r="AL142" s="145"/>
      <c r="AM142" s="145"/>
      <c r="AN142" s="145"/>
      <c r="AO142" s="145"/>
      <c r="AP142" s="145"/>
      <c r="AQ142" s="145"/>
      <c r="AR142" s="145"/>
      <c r="AS142" s="145"/>
      <c r="AT142" s="145"/>
      <c r="AU142" s="145"/>
      <c r="AV142" s="145"/>
      <c r="AW142" s="145"/>
      <c r="AX142" s="145"/>
      <c r="AY142" s="145"/>
      <c r="AZ142" s="145"/>
      <c r="BA142" s="145"/>
      <c r="BB142" s="145"/>
      <c r="BC142" s="145"/>
      <c r="BD142" s="145"/>
      <c r="BE142" s="145"/>
      <c r="BF142" s="145"/>
      <c r="BG142" s="145"/>
      <c r="HJ142" s="155"/>
      <c r="HK142" s="155"/>
    </row>
    <row r="143" spans="1:219" s="154" customFormat="1" ht="15" x14ac:dyDescent="0.25">
      <c r="A143" s="223">
        <f t="shared" si="212"/>
        <v>45</v>
      </c>
      <c r="B143" s="155" t="s">
        <v>75</v>
      </c>
      <c r="C143" s="41" t="s">
        <v>223</v>
      </c>
      <c r="D143" s="155"/>
      <c r="E143" s="41">
        <f t="shared" si="221"/>
        <v>3.27</v>
      </c>
      <c r="F143" s="155">
        <v>3.27</v>
      </c>
      <c r="G143" s="155">
        <v>2.9359999999999999</v>
      </c>
      <c r="H143" s="155"/>
      <c r="I143" s="145">
        <f t="shared" si="224"/>
        <v>6.03</v>
      </c>
      <c r="J143" s="154">
        <v>6.03</v>
      </c>
      <c r="M143" s="154">
        <f>M139*1.088</f>
        <v>3.0981828077382856</v>
      </c>
      <c r="N143" s="154">
        <v>3.13</v>
      </c>
      <c r="O143" s="154">
        <v>3.19</v>
      </c>
      <c r="P143" s="145"/>
      <c r="Q143" s="145"/>
      <c r="R143" s="145"/>
      <c r="S143" s="145"/>
      <c r="T143" s="145"/>
      <c r="V143" s="145"/>
      <c r="W143" s="145"/>
      <c r="X143" s="145"/>
      <c r="Y143" s="145"/>
      <c r="Z143" s="145"/>
      <c r="AA143" s="145"/>
      <c r="AB143" s="145"/>
      <c r="AC143" s="145"/>
      <c r="AD143" s="145"/>
      <c r="AE143" s="145"/>
      <c r="AF143" s="145"/>
      <c r="AG143" s="145"/>
      <c r="AH143" s="145"/>
      <c r="AI143" s="145"/>
      <c r="AJ143" s="145"/>
      <c r="AK143" s="145"/>
      <c r="AL143" s="145"/>
      <c r="AM143" s="145"/>
      <c r="AN143" s="145"/>
      <c r="AO143" s="145"/>
      <c r="AP143" s="145"/>
      <c r="AQ143" s="145"/>
      <c r="AR143" s="145"/>
      <c r="AS143" s="145"/>
      <c r="AT143" s="145"/>
      <c r="AU143" s="145"/>
      <c r="AV143" s="145"/>
      <c r="AW143" s="145"/>
      <c r="AX143" s="145"/>
      <c r="AY143" s="145"/>
      <c r="AZ143" s="145"/>
      <c r="BA143" s="145"/>
      <c r="BB143" s="145"/>
      <c r="BC143" s="145"/>
      <c r="BD143" s="145"/>
      <c r="BE143" s="145"/>
      <c r="BF143" s="145"/>
      <c r="BG143" s="145"/>
      <c r="HJ143" s="155"/>
      <c r="HK143" s="155"/>
    </row>
    <row r="144" spans="1:219" s="154" customFormat="1" ht="15" x14ac:dyDescent="0.25">
      <c r="A144" s="223">
        <f t="shared" si="212"/>
        <v>46</v>
      </c>
      <c r="B144" s="155" t="s">
        <v>76</v>
      </c>
      <c r="C144" s="41" t="s">
        <v>224</v>
      </c>
      <c r="D144" s="155"/>
      <c r="E144" s="41">
        <f t="shared" si="221"/>
        <v>3.38</v>
      </c>
      <c r="F144" s="155">
        <v>3.38</v>
      </c>
      <c r="G144" s="155">
        <v>2.952</v>
      </c>
      <c r="H144" s="155"/>
      <c r="I144" s="145">
        <f t="shared" si="224"/>
        <v>6.65</v>
      </c>
      <c r="J144" s="154">
        <v>6.65</v>
      </c>
      <c r="M144" s="154">
        <f t="shared" ref="M144:M146" si="226">M140*1.088</f>
        <v>3.0981828077382856</v>
      </c>
      <c r="N144" s="154">
        <v>3.19</v>
      </c>
      <c r="O144" s="154">
        <v>3.25</v>
      </c>
      <c r="P144" s="145"/>
      <c r="Q144" s="145"/>
      <c r="R144" s="145"/>
      <c r="S144" s="145"/>
      <c r="T144" s="145"/>
      <c r="V144" s="145"/>
      <c r="W144" s="145"/>
      <c r="X144" s="145"/>
      <c r="Y144" s="145"/>
      <c r="Z144" s="145"/>
      <c r="AA144" s="145"/>
      <c r="AB144" s="145"/>
      <c r="AC144" s="145"/>
      <c r="AD144" s="145"/>
      <c r="AE144" s="145"/>
      <c r="AF144" s="145"/>
      <c r="AG144" s="145"/>
      <c r="AH144" s="145"/>
      <c r="AI144" s="145"/>
      <c r="AJ144" s="145"/>
      <c r="AK144" s="145"/>
      <c r="AL144" s="145"/>
      <c r="AM144" s="145"/>
      <c r="AN144" s="145"/>
      <c r="AO144" s="145"/>
      <c r="AP144" s="145"/>
      <c r="AQ144" s="145"/>
      <c r="AR144" s="145"/>
      <c r="AS144" s="145"/>
      <c r="AT144" s="145"/>
      <c r="AU144" s="145"/>
      <c r="AV144" s="145"/>
      <c r="AW144" s="145"/>
      <c r="AX144" s="145"/>
      <c r="AY144" s="145"/>
      <c r="AZ144" s="145"/>
      <c r="BA144" s="145"/>
      <c r="BB144" s="145"/>
      <c r="BC144" s="145"/>
      <c r="BD144" s="145"/>
      <c r="BE144" s="145"/>
      <c r="BF144" s="145"/>
      <c r="BG144" s="145"/>
      <c r="HJ144" s="155"/>
      <c r="HK144" s="155"/>
    </row>
    <row r="145" spans="1:219" s="154" customFormat="1" ht="15" x14ac:dyDescent="0.25">
      <c r="A145" s="223">
        <f t="shared" si="212"/>
        <v>47</v>
      </c>
      <c r="B145" s="155" t="s">
        <v>77</v>
      </c>
      <c r="C145" s="41" t="s">
        <v>225</v>
      </c>
      <c r="D145" s="155"/>
      <c r="E145" s="41">
        <f t="shared" si="221"/>
        <v>3.48</v>
      </c>
      <c r="F145" s="155">
        <v>3.48</v>
      </c>
      <c r="G145" s="155">
        <v>2.9710000000000001</v>
      </c>
      <c r="H145" s="155"/>
      <c r="I145" s="145">
        <f t="shared" si="224"/>
        <v>6.82</v>
      </c>
      <c r="J145" s="154">
        <v>6.82</v>
      </c>
      <c r="M145" s="154">
        <f t="shared" si="226"/>
        <v>3.0981828077382856</v>
      </c>
      <c r="N145" s="154">
        <v>3.27</v>
      </c>
      <c r="O145" s="154">
        <v>3.34</v>
      </c>
      <c r="P145" s="145"/>
      <c r="Q145" s="145"/>
      <c r="R145" s="145"/>
      <c r="S145" s="145"/>
      <c r="T145" s="145"/>
      <c r="V145" s="145"/>
      <c r="W145" s="145"/>
      <c r="X145" s="145"/>
      <c r="Y145" s="145"/>
      <c r="Z145" s="145"/>
      <c r="AA145" s="145"/>
      <c r="AB145" s="145"/>
      <c r="AC145" s="145"/>
      <c r="AD145" s="145"/>
      <c r="AE145" s="145"/>
      <c r="AF145" s="145"/>
      <c r="AG145" s="145"/>
      <c r="AH145" s="145"/>
      <c r="AI145" s="145"/>
      <c r="AJ145" s="145"/>
      <c r="AK145" s="145"/>
      <c r="AL145" s="145"/>
      <c r="AM145" s="145"/>
      <c r="AN145" s="145"/>
      <c r="AO145" s="145"/>
      <c r="AP145" s="145"/>
      <c r="AQ145" s="145"/>
      <c r="AR145" s="145"/>
      <c r="AS145" s="145"/>
      <c r="AT145" s="145"/>
      <c r="AU145" s="145"/>
      <c r="AV145" s="145"/>
      <c r="AW145" s="145"/>
      <c r="AX145" s="145"/>
      <c r="AY145" s="145"/>
      <c r="AZ145" s="145"/>
      <c r="BA145" s="145"/>
      <c r="BB145" s="145"/>
      <c r="BC145" s="145"/>
      <c r="BD145" s="145"/>
      <c r="BE145" s="145"/>
      <c r="BF145" s="145"/>
      <c r="BG145" s="145"/>
      <c r="HJ145" s="155"/>
      <c r="HK145" s="155"/>
    </row>
    <row r="146" spans="1:219" s="154" customFormat="1" ht="15" x14ac:dyDescent="0.25">
      <c r="A146" s="223">
        <f t="shared" si="212"/>
        <v>48</v>
      </c>
      <c r="B146" s="155" t="s">
        <v>78</v>
      </c>
      <c r="C146" s="41" t="s">
        <v>226</v>
      </c>
      <c r="D146" s="155"/>
      <c r="E146" s="41">
        <f t="shared" si="221"/>
        <v>3.55</v>
      </c>
      <c r="F146" s="155">
        <v>3.55</v>
      </c>
      <c r="G146" s="155">
        <v>2.996</v>
      </c>
      <c r="H146" s="155"/>
      <c r="I146" s="145">
        <f t="shared" si="224"/>
        <v>6.95</v>
      </c>
      <c r="J146" s="154">
        <v>6.95</v>
      </c>
      <c r="M146" s="154">
        <f t="shared" si="226"/>
        <v>3.0981828077382856</v>
      </c>
      <c r="N146" s="154">
        <v>3.31</v>
      </c>
      <c r="O146" s="154">
        <v>3.38</v>
      </c>
      <c r="P146" s="145"/>
      <c r="Q146" s="145"/>
      <c r="R146" s="145"/>
      <c r="S146" s="145"/>
      <c r="T146" s="145"/>
      <c r="V146" s="145"/>
      <c r="W146" s="145"/>
      <c r="X146" s="145"/>
      <c r="Y146" s="145"/>
      <c r="Z146" s="145"/>
      <c r="AA146" s="145"/>
      <c r="AB146" s="145"/>
      <c r="AC146" s="145"/>
      <c r="AD146" s="145"/>
      <c r="AE146" s="145"/>
      <c r="AF146" s="145"/>
      <c r="AG146" s="145"/>
      <c r="AH146" s="145"/>
      <c r="AI146" s="145"/>
      <c r="AJ146" s="145"/>
      <c r="AK146" s="145"/>
      <c r="AL146" s="145"/>
      <c r="AM146" s="145"/>
      <c r="AN146" s="145"/>
      <c r="AO146" s="145"/>
      <c r="AP146" s="145"/>
      <c r="AQ146" s="145"/>
      <c r="AR146" s="145"/>
      <c r="AS146" s="145"/>
      <c r="AT146" s="145"/>
      <c r="AU146" s="145"/>
      <c r="AV146" s="145"/>
      <c r="AW146" s="145"/>
      <c r="AX146" s="145"/>
      <c r="AY146" s="145"/>
      <c r="AZ146" s="145"/>
      <c r="BA146" s="145"/>
      <c r="BB146" s="145"/>
      <c r="BC146" s="145"/>
      <c r="BD146" s="145"/>
      <c r="BE146" s="145"/>
      <c r="BF146" s="145"/>
      <c r="BG146" s="145"/>
      <c r="HJ146" s="155"/>
      <c r="HK146" s="155"/>
    </row>
    <row r="147" spans="1:219" s="154" customFormat="1" ht="15" x14ac:dyDescent="0.25">
      <c r="A147" s="223">
        <f t="shared" si="212"/>
        <v>49</v>
      </c>
      <c r="B147" s="155" t="s">
        <v>79</v>
      </c>
      <c r="C147" s="41" t="s">
        <v>191</v>
      </c>
      <c r="D147" s="155"/>
      <c r="E147" s="41">
        <f t="shared" si="221"/>
        <v>3.58</v>
      </c>
      <c r="F147" s="155">
        <v>3.58</v>
      </c>
      <c r="G147" s="161">
        <v>3.0270000000000001</v>
      </c>
      <c r="H147" s="155"/>
      <c r="I147" s="145">
        <f t="shared" si="224"/>
        <v>7.06</v>
      </c>
      <c r="J147" s="154">
        <v>7.06</v>
      </c>
      <c r="M147" s="154">
        <f>M143*1.061</f>
        <v>3.2871719590103208</v>
      </c>
      <c r="N147" s="154">
        <v>3.35</v>
      </c>
      <c r="O147" s="154">
        <v>3.42</v>
      </c>
      <c r="P147" s="145"/>
      <c r="Q147" s="145"/>
      <c r="R147" s="145"/>
      <c r="S147" s="145"/>
      <c r="T147" s="145"/>
      <c r="V147" s="145"/>
      <c r="W147" s="145"/>
      <c r="X147" s="145"/>
      <c r="Y147" s="145"/>
      <c r="Z147" s="145"/>
      <c r="AA147" s="145"/>
      <c r="AB147" s="145"/>
      <c r="AC147" s="145"/>
      <c r="AD147" s="145"/>
      <c r="AE147" s="145"/>
      <c r="AF147" s="145"/>
      <c r="AG147" s="145"/>
      <c r="AH147" s="145"/>
      <c r="AI147" s="145"/>
      <c r="AJ147" s="145"/>
      <c r="AK147" s="145"/>
      <c r="AL147" s="145"/>
      <c r="AM147" s="145"/>
      <c r="AN147" s="145"/>
      <c r="AO147" s="145"/>
      <c r="AP147" s="145"/>
      <c r="AQ147" s="145"/>
      <c r="AR147" s="145"/>
      <c r="AS147" s="145"/>
      <c r="AT147" s="145"/>
      <c r="AU147" s="145"/>
      <c r="AV147" s="145"/>
      <c r="AW147" s="145"/>
      <c r="AX147" s="145"/>
      <c r="AY147" s="145"/>
      <c r="AZ147" s="145"/>
      <c r="BA147" s="145"/>
      <c r="BB147" s="145"/>
      <c r="BC147" s="145"/>
      <c r="BD147" s="145"/>
      <c r="BE147" s="145"/>
      <c r="BF147" s="145"/>
      <c r="BG147" s="145"/>
      <c r="HJ147" s="155"/>
      <c r="HK147" s="155"/>
    </row>
    <row r="148" spans="1:219" s="154" customFormat="1" ht="15" x14ac:dyDescent="0.25">
      <c r="A148" s="223">
        <f t="shared" si="212"/>
        <v>50</v>
      </c>
      <c r="B148" s="155" t="s">
        <v>80</v>
      </c>
      <c r="C148" s="41" t="s">
        <v>189</v>
      </c>
      <c r="D148" s="155"/>
      <c r="E148" s="41">
        <f t="shared" si="221"/>
        <v>3.66</v>
      </c>
      <c r="F148" s="155">
        <v>3.66</v>
      </c>
      <c r="G148" s="161">
        <v>3.069</v>
      </c>
      <c r="H148" s="155"/>
      <c r="I148" s="145">
        <f t="shared" si="224"/>
        <v>7.21</v>
      </c>
      <c r="J148" s="154">
        <v>7.21</v>
      </c>
      <c r="M148" s="154">
        <f t="shared" ref="M148:M150" si="227">M144*1.061</f>
        <v>3.2871719590103208</v>
      </c>
      <c r="N148" s="154">
        <v>3.42</v>
      </c>
      <c r="O148" s="154">
        <v>3.49</v>
      </c>
      <c r="P148" s="145"/>
      <c r="Q148" s="145"/>
      <c r="R148" s="145"/>
      <c r="S148" s="145"/>
      <c r="T148" s="145"/>
      <c r="V148" s="145"/>
      <c r="W148" s="145"/>
      <c r="X148" s="145"/>
      <c r="Y148" s="145"/>
      <c r="Z148" s="145"/>
      <c r="AA148" s="145"/>
      <c r="AB148" s="145"/>
      <c r="AC148" s="145"/>
      <c r="AD148" s="145"/>
      <c r="AE148" s="145"/>
      <c r="AF148" s="145"/>
      <c r="AG148" s="145"/>
      <c r="AH148" s="145"/>
      <c r="AI148" s="145"/>
      <c r="AJ148" s="145"/>
      <c r="AK148" s="145"/>
      <c r="AL148" s="145"/>
      <c r="AM148" s="145"/>
      <c r="AN148" s="145"/>
      <c r="AO148" s="145"/>
      <c r="AP148" s="145"/>
      <c r="AQ148" s="145"/>
      <c r="AR148" s="145"/>
      <c r="AS148" s="145"/>
      <c r="AT148" s="145"/>
      <c r="AU148" s="145"/>
      <c r="AV148" s="145"/>
      <c r="AW148" s="145"/>
      <c r="AX148" s="145"/>
      <c r="AY148" s="145"/>
      <c r="AZ148" s="145"/>
      <c r="BA148" s="145"/>
      <c r="BB148" s="145"/>
      <c r="BC148" s="145"/>
      <c r="BD148" s="145"/>
      <c r="BE148" s="145"/>
      <c r="BF148" s="145"/>
      <c r="BG148" s="145"/>
      <c r="HJ148" s="155"/>
      <c r="HK148" s="155"/>
    </row>
    <row r="149" spans="1:219" s="154" customFormat="1" ht="15" x14ac:dyDescent="0.25">
      <c r="A149" s="223">
        <f t="shared" si="212"/>
        <v>51</v>
      </c>
      <c r="B149" s="155" t="s">
        <v>81</v>
      </c>
      <c r="C149" s="41" t="s">
        <v>190</v>
      </c>
      <c r="D149" s="155"/>
      <c r="E149" s="41">
        <f t="shared" si="221"/>
        <v>3.74</v>
      </c>
      <c r="F149" s="155">
        <v>3.74</v>
      </c>
      <c r="G149" s="161">
        <v>3.101</v>
      </c>
      <c r="H149" s="155"/>
      <c r="I149" s="145">
        <f t="shared" si="224"/>
        <v>7.38</v>
      </c>
      <c r="J149" s="154">
        <v>7.38</v>
      </c>
      <c r="M149" s="154">
        <f t="shared" si="227"/>
        <v>3.2871719590103208</v>
      </c>
      <c r="N149" s="154">
        <v>3.46</v>
      </c>
      <c r="O149" s="154">
        <v>3.53</v>
      </c>
      <c r="P149" s="145"/>
      <c r="Q149" s="145"/>
      <c r="R149" s="145"/>
      <c r="S149" s="145"/>
      <c r="T149" s="145"/>
      <c r="V149" s="145"/>
      <c r="W149" s="145"/>
      <c r="X149" s="145"/>
      <c r="Y149" s="145"/>
      <c r="Z149" s="145"/>
      <c r="AA149" s="145"/>
      <c r="AB149" s="145"/>
      <c r="AC149" s="145"/>
      <c r="AD149" s="145"/>
      <c r="AE149" s="145"/>
      <c r="AF149" s="145"/>
      <c r="AG149" s="145"/>
      <c r="AH149" s="145"/>
      <c r="AI149" s="145"/>
      <c r="AJ149" s="145"/>
      <c r="AK149" s="145"/>
      <c r="AL149" s="145"/>
      <c r="AM149" s="145"/>
      <c r="AN149" s="145"/>
      <c r="AO149" s="145"/>
      <c r="AP149" s="145"/>
      <c r="AQ149" s="145"/>
      <c r="AR149" s="145"/>
      <c r="AS149" s="145"/>
      <c r="AT149" s="145"/>
      <c r="AU149" s="145"/>
      <c r="AV149" s="145"/>
      <c r="AW149" s="145"/>
      <c r="AX149" s="145"/>
      <c r="AY149" s="145"/>
      <c r="AZ149" s="145"/>
      <c r="BA149" s="145"/>
      <c r="BB149" s="145"/>
      <c r="BC149" s="145"/>
      <c r="BD149" s="145"/>
      <c r="BE149" s="145"/>
      <c r="BF149" s="145"/>
      <c r="BG149" s="145"/>
      <c r="HJ149" s="155"/>
      <c r="HK149" s="155"/>
    </row>
    <row r="150" spans="1:219" s="154" customFormat="1" ht="15" x14ac:dyDescent="0.25">
      <c r="A150" s="223">
        <f t="shared" si="212"/>
        <v>52</v>
      </c>
      <c r="B150" s="155" t="s">
        <v>82</v>
      </c>
      <c r="C150" s="41" t="s">
        <v>188</v>
      </c>
      <c r="D150" s="155"/>
      <c r="E150" s="41">
        <f t="shared" si="221"/>
        <v>3.82</v>
      </c>
      <c r="F150" s="155">
        <v>3.82</v>
      </c>
      <c r="G150" s="161">
        <v>3.1150000000000002</v>
      </c>
      <c r="H150" s="155"/>
      <c r="I150" s="145">
        <f t="shared" si="224"/>
        <v>7.53</v>
      </c>
      <c r="J150" s="154">
        <v>7.53</v>
      </c>
      <c r="M150" s="154">
        <f t="shared" si="227"/>
        <v>3.2871719590103208</v>
      </c>
      <c r="N150" s="154">
        <v>3.53</v>
      </c>
      <c r="O150" s="154">
        <v>3.59</v>
      </c>
      <c r="P150" s="145"/>
      <c r="Q150" s="145"/>
      <c r="R150" s="145"/>
      <c r="S150" s="145"/>
      <c r="T150" s="145"/>
      <c r="V150" s="145"/>
      <c r="W150" s="145"/>
      <c r="X150" s="145"/>
      <c r="Y150" s="145"/>
      <c r="Z150" s="145"/>
      <c r="AA150" s="145"/>
      <c r="AB150" s="145"/>
      <c r="AC150" s="145"/>
      <c r="AD150" s="145"/>
      <c r="AE150" s="145"/>
      <c r="AF150" s="145"/>
      <c r="AG150" s="145"/>
      <c r="AH150" s="145"/>
      <c r="AI150" s="145"/>
      <c r="AJ150" s="145"/>
      <c r="AK150" s="145"/>
      <c r="AL150" s="145"/>
      <c r="AM150" s="145"/>
      <c r="AN150" s="145"/>
      <c r="AO150" s="145"/>
      <c r="AP150" s="145"/>
      <c r="AQ150" s="145"/>
      <c r="AR150" s="145"/>
      <c r="AS150" s="145"/>
      <c r="AT150" s="145"/>
      <c r="AU150" s="145"/>
      <c r="AV150" s="145"/>
      <c r="AW150" s="145"/>
      <c r="AX150" s="145"/>
      <c r="AY150" s="145"/>
      <c r="AZ150" s="145"/>
      <c r="BA150" s="145"/>
      <c r="BB150" s="145"/>
      <c r="BC150" s="145"/>
      <c r="BD150" s="145"/>
      <c r="BE150" s="145"/>
      <c r="BF150" s="145"/>
      <c r="BG150" s="145"/>
      <c r="HJ150" s="155"/>
      <c r="HK150" s="155"/>
    </row>
    <row r="151" spans="1:219" s="154" customFormat="1" ht="15" x14ac:dyDescent="0.25">
      <c r="A151" s="223">
        <f t="shared" si="212"/>
        <v>53</v>
      </c>
      <c r="B151" s="155" t="s">
        <v>83</v>
      </c>
      <c r="C151" s="41" t="s">
        <v>247</v>
      </c>
      <c r="D151" s="155"/>
      <c r="E151" s="41">
        <f t="shared" si="221"/>
        <v>3.86</v>
      </c>
      <c r="F151" s="161">
        <v>3.86</v>
      </c>
      <c r="G151" s="161">
        <v>3.16</v>
      </c>
      <c r="H151" s="155"/>
      <c r="I151" s="145">
        <f t="shared" si="224"/>
        <v>7.61</v>
      </c>
      <c r="J151" s="154">
        <v>7.61</v>
      </c>
      <c r="K151" s="162"/>
      <c r="L151" s="162"/>
      <c r="M151" s="154">
        <f>M147*1.066</f>
        <v>3.5041253083050021</v>
      </c>
      <c r="N151" s="162">
        <v>3.58</v>
      </c>
      <c r="O151" s="162">
        <v>3.64</v>
      </c>
      <c r="P151" s="145"/>
      <c r="Q151" s="145"/>
      <c r="R151" s="145"/>
      <c r="S151" s="145"/>
      <c r="T151" s="145"/>
      <c r="U151" s="162"/>
      <c r="V151" s="145"/>
      <c r="W151" s="145"/>
      <c r="X151" s="145"/>
      <c r="Y151" s="145"/>
      <c r="Z151" s="145"/>
      <c r="AA151" s="145"/>
      <c r="AB151" s="145"/>
      <c r="AC151" s="145"/>
      <c r="AD151" s="145"/>
      <c r="AE151" s="145"/>
      <c r="AF151" s="145"/>
      <c r="AG151" s="145"/>
      <c r="AH151" s="145"/>
      <c r="AI151" s="145"/>
      <c r="AJ151" s="145"/>
      <c r="AK151" s="145"/>
      <c r="AL151" s="145"/>
      <c r="AM151" s="145"/>
      <c r="AN151" s="145"/>
      <c r="AO151" s="145"/>
      <c r="AP151" s="145"/>
      <c r="AQ151" s="145"/>
      <c r="AR151" s="145"/>
      <c r="AS151" s="145"/>
      <c r="AT151" s="145"/>
      <c r="AU151" s="145"/>
      <c r="AV151" s="145"/>
      <c r="AW151" s="145"/>
      <c r="AX151" s="145"/>
      <c r="AY151" s="145"/>
      <c r="AZ151" s="145"/>
      <c r="BA151" s="145"/>
      <c r="BB151" s="145"/>
      <c r="BC151" s="145"/>
      <c r="BD151" s="145"/>
      <c r="BE151" s="145"/>
      <c r="BF151" s="145"/>
      <c r="BG151" s="145"/>
      <c r="HJ151" s="155"/>
      <c r="HK151" s="155"/>
    </row>
    <row r="152" spans="1:219" s="154" customFormat="1" ht="15" x14ac:dyDescent="0.25">
      <c r="A152" s="223">
        <f t="shared" si="212"/>
        <v>54</v>
      </c>
      <c r="B152" s="155" t="s">
        <v>84</v>
      </c>
      <c r="C152" s="41" t="s">
        <v>248</v>
      </c>
      <c r="D152" s="155"/>
      <c r="E152" s="41">
        <f t="shared" si="221"/>
        <v>3.9</v>
      </c>
      <c r="F152" s="161">
        <v>3.9</v>
      </c>
      <c r="G152" s="161">
        <v>3.1859999999999999</v>
      </c>
      <c r="H152" s="155"/>
      <c r="I152" s="145">
        <f t="shared" si="224"/>
        <v>7.66</v>
      </c>
      <c r="J152" s="154">
        <v>7.66</v>
      </c>
      <c r="K152" s="162"/>
      <c r="L152" s="162"/>
      <c r="M152" s="154">
        <f t="shared" ref="M152:M154" si="228">M148*1.066</f>
        <v>3.5041253083050021</v>
      </c>
      <c r="N152" s="162">
        <v>3.6</v>
      </c>
      <c r="O152" s="162">
        <v>3.66</v>
      </c>
      <c r="P152" s="145"/>
      <c r="Q152" s="145"/>
      <c r="R152" s="145"/>
      <c r="S152" s="145"/>
      <c r="T152" s="145"/>
      <c r="U152" s="162"/>
      <c r="V152" s="145"/>
      <c r="W152" s="145"/>
      <c r="X152" s="145"/>
      <c r="Y152" s="145"/>
      <c r="Z152" s="145"/>
      <c r="AA152" s="145"/>
      <c r="AB152" s="145"/>
      <c r="AC152" s="145"/>
      <c r="AD152" s="145"/>
      <c r="AE152" s="145"/>
      <c r="AF152" s="145"/>
      <c r="AG152" s="145"/>
      <c r="AH152" s="145"/>
      <c r="AI152" s="145"/>
      <c r="AJ152" s="145"/>
      <c r="AK152" s="145"/>
      <c r="AL152" s="145"/>
      <c r="AM152" s="145"/>
      <c r="AN152" s="145"/>
      <c r="AO152" s="145"/>
      <c r="AP152" s="145"/>
      <c r="AQ152" s="145"/>
      <c r="AR152" s="145"/>
      <c r="AS152" s="145"/>
      <c r="AT152" s="145"/>
      <c r="AU152" s="145"/>
      <c r="AV152" s="145"/>
      <c r="AW152" s="145"/>
      <c r="AX152" s="145"/>
      <c r="AY152" s="145"/>
      <c r="AZ152" s="145"/>
      <c r="BA152" s="145"/>
      <c r="BB152" s="145"/>
      <c r="BC152" s="145"/>
      <c r="BD152" s="145"/>
      <c r="BE152" s="145"/>
      <c r="BF152" s="145"/>
      <c r="BG152" s="145"/>
      <c r="HJ152" s="155"/>
      <c r="HK152" s="155"/>
    </row>
    <row r="153" spans="1:219" s="154" customFormat="1" ht="15" x14ac:dyDescent="0.25">
      <c r="A153" s="223">
        <f t="shared" si="212"/>
        <v>55</v>
      </c>
      <c r="B153" s="155" t="s">
        <v>85</v>
      </c>
      <c r="C153" s="41" t="s">
        <v>249</v>
      </c>
      <c r="D153" s="155"/>
      <c r="E153" s="41">
        <f t="shared" si="221"/>
        <v>3.94</v>
      </c>
      <c r="F153" s="161">
        <v>3.94</v>
      </c>
      <c r="G153" s="161">
        <v>3.2280000000000002</v>
      </c>
      <c r="H153" s="155"/>
      <c r="I153" s="145">
        <f t="shared" si="224"/>
        <v>7.74</v>
      </c>
      <c r="J153" s="154">
        <v>7.74</v>
      </c>
      <c r="K153" s="162"/>
      <c r="L153" s="162"/>
      <c r="M153" s="154">
        <f t="shared" si="228"/>
        <v>3.5041253083050021</v>
      </c>
      <c r="N153" s="162">
        <v>3.64</v>
      </c>
      <c r="O153" s="162">
        <v>3.7</v>
      </c>
      <c r="P153" s="145"/>
      <c r="Q153" s="145"/>
      <c r="R153" s="145"/>
      <c r="S153" s="145"/>
      <c r="T153" s="145"/>
      <c r="U153" s="162"/>
      <c r="V153" s="145"/>
      <c r="W153" s="145"/>
      <c r="X153" s="145"/>
      <c r="Y153" s="145"/>
      <c r="Z153" s="145"/>
      <c r="AA153" s="145"/>
      <c r="AB153" s="145"/>
      <c r="AC153" s="145"/>
      <c r="AD153" s="145"/>
      <c r="AE153" s="145"/>
      <c r="AF153" s="145"/>
      <c r="AG153" s="145"/>
      <c r="AH153" s="145"/>
      <c r="AI153" s="145"/>
      <c r="AJ153" s="145"/>
      <c r="AK153" s="145"/>
      <c r="AL153" s="145"/>
      <c r="AM153" s="145"/>
      <c r="AN153" s="145"/>
      <c r="AO153" s="145"/>
      <c r="AP153" s="145"/>
      <c r="AQ153" s="145"/>
      <c r="AR153" s="145"/>
      <c r="AS153" s="145"/>
      <c r="AT153" s="145"/>
      <c r="AU153" s="145"/>
      <c r="AV153" s="145"/>
      <c r="AW153" s="145"/>
      <c r="AX153" s="145"/>
      <c r="AY153" s="145"/>
      <c r="AZ153" s="145"/>
      <c r="BA153" s="145"/>
      <c r="BB153" s="145"/>
      <c r="BC153" s="145"/>
      <c r="BD153" s="145"/>
      <c r="BE153" s="145"/>
      <c r="BF153" s="145"/>
      <c r="BG153" s="145"/>
      <c r="HJ153" s="155"/>
      <c r="HK153" s="155"/>
    </row>
    <row r="154" spans="1:219" s="154" customFormat="1" ht="15" x14ac:dyDescent="0.25">
      <c r="A154" s="223">
        <f t="shared" si="212"/>
        <v>56</v>
      </c>
      <c r="B154" s="155" t="s">
        <v>86</v>
      </c>
      <c r="C154" s="41" t="s">
        <v>250</v>
      </c>
      <c r="D154" s="155"/>
      <c r="E154" s="41">
        <f t="shared" si="221"/>
        <v>3.94</v>
      </c>
      <c r="F154" s="161">
        <v>3.94</v>
      </c>
      <c r="G154" s="161">
        <v>3.2189999999999999</v>
      </c>
      <c r="H154" s="155"/>
      <c r="I154" s="145">
        <f t="shared" si="224"/>
        <v>7.74</v>
      </c>
      <c r="J154" s="154">
        <v>7.74</v>
      </c>
      <c r="K154" s="162"/>
      <c r="L154" s="162"/>
      <c r="M154" s="154">
        <f t="shared" si="228"/>
        <v>3.5041253083050021</v>
      </c>
      <c r="N154" s="162">
        <v>3.64</v>
      </c>
      <c r="O154" s="162">
        <v>3.7</v>
      </c>
      <c r="P154" s="145"/>
      <c r="Q154" s="145"/>
      <c r="R154" s="145"/>
      <c r="S154" s="145"/>
      <c r="T154" s="145"/>
      <c r="U154" s="162"/>
      <c r="V154" s="145"/>
      <c r="W154" s="145"/>
      <c r="X154" s="145"/>
      <c r="Y154" s="145"/>
      <c r="Z154" s="145"/>
      <c r="AA154" s="145"/>
      <c r="AB154" s="145"/>
      <c r="AC154" s="145"/>
      <c r="AD154" s="145"/>
      <c r="AE154" s="145"/>
      <c r="AF154" s="145"/>
      <c r="AG154" s="145"/>
      <c r="AH154" s="145"/>
      <c r="AI154" s="145"/>
      <c r="AJ154" s="145"/>
      <c r="AK154" s="145"/>
      <c r="AL154" s="145"/>
      <c r="AM154" s="145"/>
      <c r="AN154" s="145"/>
      <c r="AO154" s="145"/>
      <c r="AP154" s="145"/>
      <c r="AQ154" s="145"/>
      <c r="AR154" s="145"/>
      <c r="AS154" s="145"/>
      <c r="AT154" s="145"/>
      <c r="AU154" s="145"/>
      <c r="AV154" s="145"/>
      <c r="AW154" s="145"/>
      <c r="AX154" s="145"/>
      <c r="AY154" s="145"/>
      <c r="AZ154" s="145"/>
      <c r="BA154" s="145"/>
      <c r="BB154" s="145"/>
      <c r="BC154" s="145"/>
      <c r="BD154" s="145"/>
      <c r="BE154" s="145"/>
      <c r="BF154" s="145"/>
      <c r="BG154" s="145"/>
      <c r="HJ154" s="155"/>
      <c r="HK154" s="155"/>
    </row>
    <row r="155" spans="1:219" s="154" customFormat="1" ht="15" x14ac:dyDescent="0.25">
      <c r="A155" s="223">
        <f t="shared" si="212"/>
        <v>57</v>
      </c>
      <c r="B155" s="155" t="s">
        <v>87</v>
      </c>
      <c r="C155" s="41" t="s">
        <v>307</v>
      </c>
      <c r="D155" s="155"/>
      <c r="E155" s="41">
        <f t="shared" si="221"/>
        <v>3.94</v>
      </c>
      <c r="F155" s="161">
        <v>3.94</v>
      </c>
      <c r="G155" s="161">
        <v>3.222</v>
      </c>
      <c r="H155" s="160"/>
      <c r="I155" s="145">
        <f t="shared" si="224"/>
        <v>7.74</v>
      </c>
      <c r="J155" s="154">
        <v>7.74</v>
      </c>
      <c r="K155" s="159"/>
      <c r="L155" s="159"/>
      <c r="M155" s="154">
        <f>M151*1.065</f>
        <v>3.7318934533448269</v>
      </c>
      <c r="N155" s="162">
        <v>3.64</v>
      </c>
      <c r="O155" s="162">
        <v>3.7</v>
      </c>
      <c r="P155" s="145"/>
      <c r="Q155" s="145"/>
      <c r="R155" s="145"/>
      <c r="S155" s="145"/>
      <c r="T155" s="145"/>
      <c r="U155" s="159"/>
      <c r="V155" s="145"/>
      <c r="W155" s="145"/>
      <c r="X155" s="145"/>
      <c r="Y155" s="145"/>
      <c r="Z155" s="145"/>
      <c r="AA155" s="145"/>
      <c r="AB155" s="145"/>
      <c r="AC155" s="145"/>
      <c r="AD155" s="145"/>
      <c r="AE155" s="145"/>
      <c r="AF155" s="145"/>
      <c r="AG155" s="145"/>
      <c r="AH155" s="145"/>
      <c r="AI155" s="145"/>
      <c r="AJ155" s="145"/>
      <c r="AK155" s="145"/>
      <c r="AL155" s="145"/>
      <c r="AM155" s="145"/>
      <c r="AN155" s="145"/>
      <c r="AO155" s="145"/>
      <c r="AP155" s="145"/>
      <c r="AQ155" s="145"/>
      <c r="AR155" s="145"/>
      <c r="AS155" s="145"/>
      <c r="AT155" s="145"/>
      <c r="AU155" s="145"/>
      <c r="AV155" s="145"/>
      <c r="AW155" s="145"/>
      <c r="AX155" s="145"/>
      <c r="AY155" s="145"/>
      <c r="AZ155" s="145"/>
      <c r="BA155" s="145"/>
      <c r="BB155" s="145"/>
      <c r="BC155" s="145"/>
      <c r="BD155" s="145"/>
      <c r="BE155" s="145"/>
      <c r="BF155" s="145"/>
      <c r="BG155" s="145"/>
      <c r="HJ155" s="155"/>
      <c r="HK155" s="155"/>
    </row>
    <row r="156" spans="1:219" s="154" customFormat="1" ht="15" x14ac:dyDescent="0.25">
      <c r="A156" s="223">
        <f t="shared" si="212"/>
        <v>58</v>
      </c>
      <c r="B156" s="155" t="s">
        <v>88</v>
      </c>
      <c r="C156" s="41" t="s">
        <v>480</v>
      </c>
      <c r="D156" s="155"/>
      <c r="E156" s="41">
        <f t="shared" si="221"/>
        <v>3.96</v>
      </c>
      <c r="F156" s="161">
        <v>3.96</v>
      </c>
      <c r="G156" s="161">
        <v>3.2090000000000001</v>
      </c>
      <c r="H156" s="160"/>
      <c r="I156" s="145">
        <f t="shared" si="224"/>
        <v>7.77</v>
      </c>
      <c r="J156" s="154">
        <v>7.77</v>
      </c>
      <c r="K156" s="159"/>
      <c r="L156" s="159"/>
      <c r="M156" s="154">
        <f>M152*1.065</f>
        <v>3.7318934533448269</v>
      </c>
      <c r="N156" s="162">
        <v>3.64</v>
      </c>
      <c r="O156" s="162">
        <v>3.7</v>
      </c>
      <c r="P156" s="145"/>
      <c r="Q156" s="145"/>
      <c r="R156" s="145"/>
      <c r="S156" s="145"/>
      <c r="T156" s="145"/>
      <c r="U156" s="159"/>
      <c r="V156" s="145"/>
      <c r="W156" s="145"/>
      <c r="X156" s="145"/>
      <c r="Y156" s="145"/>
      <c r="Z156" s="145"/>
      <c r="AA156" s="145"/>
      <c r="AB156" s="145"/>
      <c r="AC156" s="145"/>
      <c r="AD156" s="145"/>
      <c r="AE156" s="145"/>
      <c r="AF156" s="145"/>
      <c r="AG156" s="145"/>
      <c r="AH156" s="145"/>
      <c r="AI156" s="145"/>
      <c r="AJ156" s="145"/>
      <c r="AK156" s="145"/>
      <c r="AL156" s="145"/>
      <c r="AM156" s="145"/>
      <c r="AN156" s="145"/>
      <c r="AO156" s="145"/>
      <c r="AP156" s="145"/>
      <c r="AQ156" s="145"/>
      <c r="AR156" s="145"/>
      <c r="AS156" s="145"/>
      <c r="AT156" s="145"/>
      <c r="AU156" s="145"/>
      <c r="AV156" s="145"/>
      <c r="AW156" s="145"/>
      <c r="AX156" s="145"/>
      <c r="AY156" s="145"/>
      <c r="AZ156" s="145"/>
      <c r="BA156" s="145"/>
      <c r="BB156" s="145"/>
      <c r="BC156" s="145"/>
      <c r="BD156" s="145"/>
      <c r="BE156" s="145"/>
      <c r="BF156" s="145"/>
      <c r="HJ156" s="155"/>
      <c r="HK156" s="155"/>
    </row>
    <row r="157" spans="1:219" s="154" customFormat="1" ht="15" x14ac:dyDescent="0.25">
      <c r="A157" s="223">
        <f t="shared" si="212"/>
        <v>59</v>
      </c>
      <c r="B157" s="155" t="s">
        <v>89</v>
      </c>
      <c r="C157" s="41" t="s">
        <v>637</v>
      </c>
      <c r="D157" s="155"/>
      <c r="E157" s="41">
        <f t="shared" si="221"/>
        <v>4.04</v>
      </c>
      <c r="F157" s="161">
        <v>4.04</v>
      </c>
      <c r="G157" s="161"/>
      <c r="H157" s="160"/>
      <c r="I157" s="145">
        <f t="shared" si="224"/>
        <v>7.93</v>
      </c>
      <c r="J157" s="154">
        <v>7.93</v>
      </c>
      <c r="K157" s="159"/>
      <c r="L157" s="159"/>
      <c r="M157" s="154">
        <f>M153*1.065</f>
        <v>3.7318934533448269</v>
      </c>
      <c r="N157" s="162">
        <v>3.7</v>
      </c>
      <c r="O157" s="162">
        <v>3.76</v>
      </c>
      <c r="P157" s="145"/>
      <c r="Q157" s="145"/>
      <c r="R157" s="145"/>
      <c r="S157" s="145"/>
      <c r="T157" s="145"/>
      <c r="U157" s="159"/>
      <c r="V157" s="145"/>
      <c r="W157" s="145"/>
      <c r="X157" s="145"/>
      <c r="Y157" s="145"/>
      <c r="Z157" s="145"/>
      <c r="AA157" s="145"/>
      <c r="AB157" s="145"/>
      <c r="AC157" s="145"/>
      <c r="AD157" s="145"/>
      <c r="AE157" s="145"/>
      <c r="AF157" s="145"/>
      <c r="AG157" s="145"/>
      <c r="AH157" s="145"/>
      <c r="AI157" s="145"/>
      <c r="AJ157" s="145"/>
      <c r="AK157" s="145"/>
      <c r="AL157" s="145"/>
      <c r="AM157" s="145"/>
      <c r="AN157" s="145"/>
      <c r="AO157" s="145"/>
      <c r="AP157" s="145"/>
      <c r="AQ157" s="145"/>
      <c r="AR157" s="145"/>
      <c r="AS157" s="145"/>
      <c r="AT157" s="145"/>
      <c r="AU157" s="145"/>
      <c r="AV157" s="145"/>
      <c r="AW157" s="145"/>
      <c r="AX157" s="145"/>
      <c r="AY157" s="145"/>
      <c r="AZ157" s="145"/>
      <c r="BA157" s="145"/>
      <c r="BB157" s="145"/>
      <c r="BC157" s="145"/>
      <c r="BD157" s="145"/>
      <c r="BE157" s="145"/>
      <c r="BF157" s="145"/>
      <c r="HJ157" s="155"/>
      <c r="HK157" s="155"/>
    </row>
    <row r="158" spans="1:219" s="154" customFormat="1" ht="15" x14ac:dyDescent="0.25">
      <c r="A158" s="223">
        <f t="shared" si="212"/>
        <v>60</v>
      </c>
      <c r="B158" s="155" t="s">
        <v>90</v>
      </c>
      <c r="C158" s="41" t="s">
        <v>1106</v>
      </c>
      <c r="D158" s="155"/>
      <c r="E158" s="41">
        <f t="shared" si="221"/>
        <v>4.0199999999999996</v>
      </c>
      <c r="F158" s="161">
        <v>4.0199999999999996</v>
      </c>
      <c r="G158" s="160"/>
      <c r="H158" s="160"/>
      <c r="I158" s="145">
        <f t="shared" si="224"/>
        <v>7.9</v>
      </c>
      <c r="J158" s="161">
        <v>7.9</v>
      </c>
      <c r="K158" s="159"/>
      <c r="L158" s="159"/>
      <c r="M158" s="154">
        <f>M154*1.065</f>
        <v>3.7318934533448269</v>
      </c>
      <c r="N158" s="161">
        <v>3.7</v>
      </c>
      <c r="O158" s="161">
        <v>3.76</v>
      </c>
      <c r="P158" s="145"/>
      <c r="Q158" s="145"/>
      <c r="R158" s="145"/>
      <c r="S158" s="145"/>
      <c r="T158" s="145"/>
      <c r="U158" s="159"/>
      <c r="V158" s="145"/>
      <c r="W158" s="145"/>
      <c r="X158" s="145"/>
      <c r="Y158" s="145"/>
      <c r="Z158" s="145"/>
      <c r="AA158" s="145"/>
      <c r="AB158" s="145"/>
      <c r="AC158" s="145"/>
      <c r="AD158" s="145"/>
      <c r="AE158" s="145"/>
      <c r="AF158" s="145"/>
      <c r="AG158" s="145"/>
      <c r="AH158" s="145"/>
      <c r="AI158" s="145"/>
      <c r="AJ158" s="145"/>
      <c r="AK158" s="145"/>
      <c r="AL158" s="145"/>
      <c r="AM158" s="145"/>
      <c r="AN158" s="145"/>
      <c r="AO158" s="145"/>
      <c r="AP158" s="145"/>
      <c r="AQ158" s="145"/>
      <c r="AR158" s="145"/>
      <c r="AS158" s="145"/>
      <c r="AT158" s="145"/>
      <c r="AU158" s="145"/>
      <c r="AV158" s="145"/>
      <c r="AW158" s="145"/>
      <c r="AX158" s="145"/>
      <c r="AY158" s="145"/>
      <c r="AZ158" s="145"/>
      <c r="BA158" s="145"/>
      <c r="BB158" s="145"/>
      <c r="BC158" s="145"/>
      <c r="BD158" s="145"/>
      <c r="BE158" s="145"/>
      <c r="BF158" s="145"/>
      <c r="HJ158" s="155"/>
      <c r="HK158" s="155"/>
    </row>
    <row r="159" spans="1:219" s="154" customFormat="1" ht="15" x14ac:dyDescent="0.25">
      <c r="A159" s="223">
        <f t="shared" si="212"/>
        <v>61</v>
      </c>
      <c r="B159" s="155" t="s">
        <v>91</v>
      </c>
      <c r="C159" s="41" t="s">
        <v>1356</v>
      </c>
      <c r="D159" s="155"/>
      <c r="E159" s="41">
        <f t="shared" si="221"/>
        <v>4.04</v>
      </c>
      <c r="F159" s="161">
        <v>4.04</v>
      </c>
      <c r="G159" s="160"/>
      <c r="H159" s="160"/>
      <c r="I159" s="145">
        <f t="shared" si="224"/>
        <v>7.94</v>
      </c>
      <c r="J159" s="161">
        <v>7.94</v>
      </c>
      <c r="K159" s="159"/>
      <c r="L159" s="159"/>
      <c r="M159" s="154">
        <f>M155*1.114</f>
        <v>4.1573293070261377</v>
      </c>
      <c r="N159" s="161">
        <v>3.73</v>
      </c>
      <c r="O159" s="161">
        <v>3.79</v>
      </c>
      <c r="P159" s="145"/>
      <c r="Q159" s="145"/>
      <c r="R159" s="145"/>
      <c r="S159" s="145"/>
      <c r="T159" s="145"/>
      <c r="U159" s="159"/>
      <c r="V159" s="145"/>
      <c r="W159" s="145"/>
      <c r="X159" s="145"/>
      <c r="Y159" s="145"/>
      <c r="Z159" s="145"/>
      <c r="AA159" s="145"/>
      <c r="AB159" s="145"/>
      <c r="AC159" s="145"/>
      <c r="AD159" s="145"/>
      <c r="AE159" s="145"/>
      <c r="AF159" s="145"/>
      <c r="AG159" s="145"/>
      <c r="AH159" s="145"/>
      <c r="AI159" s="145"/>
      <c r="AJ159" s="145"/>
      <c r="AK159" s="145"/>
      <c r="AL159" s="145"/>
      <c r="AM159" s="145"/>
      <c r="AN159" s="145"/>
      <c r="AO159" s="145"/>
      <c r="AP159" s="145"/>
      <c r="AQ159" s="145"/>
      <c r="AR159" s="145"/>
      <c r="AS159" s="145"/>
      <c r="AT159" s="145"/>
      <c r="AU159" s="145"/>
      <c r="AV159" s="145"/>
      <c r="AW159" s="145"/>
      <c r="AX159" s="145"/>
      <c r="AY159" s="145"/>
      <c r="AZ159" s="145"/>
      <c r="BA159" s="145"/>
      <c r="BB159" s="145"/>
      <c r="BC159" s="145"/>
      <c r="BD159" s="145"/>
      <c r="BE159" s="145"/>
      <c r="BF159" s="145"/>
      <c r="HJ159" s="155"/>
      <c r="HK159" s="155"/>
    </row>
    <row r="160" spans="1:219" s="154" customFormat="1" ht="15" x14ac:dyDescent="0.25">
      <c r="A160" s="223">
        <f t="shared" si="212"/>
        <v>62</v>
      </c>
      <c r="B160" s="155" t="s">
        <v>92</v>
      </c>
      <c r="C160" s="41" t="s">
        <v>1357</v>
      </c>
      <c r="D160" s="155"/>
      <c r="E160" s="41">
        <f t="shared" si="221"/>
        <v>4.04</v>
      </c>
      <c r="F160" s="161">
        <v>4.04</v>
      </c>
      <c r="G160" s="160"/>
      <c r="H160" s="160"/>
      <c r="I160" s="145">
        <f t="shared" si="224"/>
        <v>7.94</v>
      </c>
      <c r="J160" s="161">
        <v>7.94</v>
      </c>
      <c r="K160" s="159"/>
      <c r="L160" s="159"/>
      <c r="M160" s="154">
        <f t="shared" ref="M160:M162" si="229">M156*1.114</f>
        <v>4.1573293070261377</v>
      </c>
      <c r="N160" s="161">
        <v>3.73</v>
      </c>
      <c r="O160" s="161">
        <v>3.79</v>
      </c>
      <c r="P160" s="145"/>
      <c r="Q160" s="145"/>
      <c r="R160" s="145"/>
      <c r="S160" s="145"/>
      <c r="T160" s="145"/>
      <c r="U160" s="159"/>
      <c r="V160" s="145"/>
      <c r="W160" s="145"/>
      <c r="X160" s="145"/>
      <c r="Y160" s="145"/>
      <c r="Z160" s="145"/>
      <c r="AA160" s="145"/>
      <c r="AB160" s="145"/>
      <c r="AC160" s="145"/>
      <c r="AD160" s="145"/>
      <c r="AE160" s="145"/>
      <c r="AF160" s="145"/>
      <c r="AG160" s="145"/>
      <c r="AH160" s="145"/>
      <c r="AI160" s="145"/>
      <c r="AJ160" s="145"/>
      <c r="AK160" s="145"/>
      <c r="AL160" s="145"/>
      <c r="AM160" s="145"/>
      <c r="AN160" s="145"/>
      <c r="AO160" s="145"/>
      <c r="AP160" s="145"/>
      <c r="AQ160" s="145"/>
      <c r="AR160" s="145"/>
      <c r="AS160" s="145"/>
      <c r="AT160" s="145"/>
      <c r="AU160" s="145"/>
      <c r="AV160" s="145"/>
      <c r="AW160" s="145"/>
      <c r="AX160" s="145"/>
      <c r="AY160" s="145"/>
      <c r="AZ160" s="145"/>
      <c r="BA160" s="145"/>
      <c r="BB160" s="145"/>
      <c r="BC160" s="145"/>
      <c r="BD160" s="145"/>
      <c r="BE160" s="145"/>
      <c r="BF160" s="145"/>
      <c r="HJ160" s="155"/>
      <c r="HK160" s="155"/>
    </row>
    <row r="161" spans="1:219" s="154" customFormat="1" ht="15" x14ac:dyDescent="0.25">
      <c r="A161" s="223">
        <f t="shared" si="212"/>
        <v>63</v>
      </c>
      <c r="B161" s="155" t="s">
        <v>93</v>
      </c>
      <c r="C161" s="41" t="s">
        <v>1358</v>
      </c>
      <c r="D161" s="155"/>
      <c r="E161" s="41">
        <f t="shared" si="221"/>
        <v>4.18</v>
      </c>
      <c r="F161" s="161">
        <v>4.18</v>
      </c>
      <c r="G161" s="160"/>
      <c r="H161" s="160"/>
      <c r="I161" s="145">
        <f t="shared" si="224"/>
        <v>8.2100000000000009</v>
      </c>
      <c r="J161" s="161">
        <v>8.2100000000000009</v>
      </c>
      <c r="K161" s="159"/>
      <c r="L161" s="159"/>
      <c r="M161" s="154">
        <f t="shared" si="229"/>
        <v>4.1573293070261377</v>
      </c>
      <c r="N161" s="161">
        <v>3.84</v>
      </c>
      <c r="O161" s="161">
        <v>3.9</v>
      </c>
      <c r="P161" s="145"/>
      <c r="Q161" s="145"/>
      <c r="R161" s="145"/>
      <c r="S161" s="145"/>
      <c r="T161" s="145"/>
      <c r="U161" s="159"/>
      <c r="V161" s="145"/>
      <c r="W161" s="145"/>
      <c r="X161" s="145"/>
      <c r="Y161" s="145"/>
      <c r="Z161" s="145"/>
      <c r="AA161" s="145"/>
      <c r="AB161" s="145"/>
      <c r="AC161" s="145"/>
      <c r="AD161" s="145"/>
      <c r="AE161" s="145"/>
      <c r="AF161" s="145"/>
      <c r="AG161" s="145"/>
      <c r="AH161" s="145"/>
      <c r="AI161" s="145"/>
      <c r="AJ161" s="145"/>
      <c r="AK161" s="145"/>
      <c r="AL161" s="145"/>
      <c r="AM161" s="145"/>
      <c r="AN161" s="145"/>
      <c r="AO161" s="145"/>
      <c r="AP161" s="145"/>
      <c r="AQ161" s="145"/>
      <c r="AR161" s="145"/>
      <c r="AS161" s="145"/>
      <c r="AT161" s="145"/>
      <c r="AU161" s="145"/>
      <c r="AV161" s="145"/>
      <c r="AW161" s="145"/>
      <c r="AX161" s="145"/>
      <c r="AY161" s="145"/>
      <c r="AZ161" s="145"/>
      <c r="BA161" s="145"/>
      <c r="BB161" s="145"/>
      <c r="BC161" s="145"/>
      <c r="BD161" s="145"/>
      <c r="BE161" s="145"/>
      <c r="BF161" s="145"/>
      <c r="HJ161" s="155"/>
      <c r="HK161" s="155"/>
    </row>
    <row r="162" spans="1:219" s="154" customFormat="1" ht="15" x14ac:dyDescent="0.25">
      <c r="A162" s="223">
        <f t="shared" si="212"/>
        <v>64</v>
      </c>
      <c r="B162" s="155" t="s">
        <v>94</v>
      </c>
      <c r="C162" s="40"/>
      <c r="D162" s="155"/>
      <c r="E162" s="41">
        <f t="shared" si="221"/>
        <v>4.25</v>
      </c>
      <c r="F162" s="161">
        <v>4.25</v>
      </c>
      <c r="G162" s="160"/>
      <c r="H162" s="160"/>
      <c r="I162" s="145">
        <f t="shared" si="224"/>
        <v>8.36</v>
      </c>
      <c r="J162" s="161">
        <v>8.36</v>
      </c>
      <c r="K162" s="159"/>
      <c r="L162" s="159"/>
      <c r="M162" s="154">
        <f t="shared" si="229"/>
        <v>4.1573293070261377</v>
      </c>
      <c r="N162" s="161">
        <v>3.84</v>
      </c>
      <c r="O162" s="161">
        <v>3.9</v>
      </c>
      <c r="P162" s="145"/>
      <c r="Q162" s="145"/>
      <c r="R162" s="145"/>
      <c r="S162" s="145"/>
      <c r="T162" s="145"/>
      <c r="U162" s="159"/>
      <c r="V162" s="145"/>
      <c r="W162" s="145"/>
      <c r="X162" s="145"/>
      <c r="Y162" s="145"/>
      <c r="Z162" s="145"/>
      <c r="AA162" s="145"/>
      <c r="AB162" s="145"/>
      <c r="AC162" s="145"/>
      <c r="AD162" s="145"/>
      <c r="AE162" s="145"/>
      <c r="AF162" s="145"/>
      <c r="AG162" s="145"/>
      <c r="AH162" s="145"/>
      <c r="AI162" s="145"/>
      <c r="AJ162" s="145"/>
      <c r="AK162" s="145"/>
      <c r="AL162" s="145"/>
      <c r="AM162" s="145"/>
      <c r="AN162" s="145"/>
      <c r="AO162" s="145"/>
      <c r="AP162" s="145"/>
      <c r="AQ162" s="145"/>
      <c r="AR162" s="145"/>
      <c r="AS162" s="145"/>
      <c r="AT162" s="145"/>
      <c r="AU162" s="145"/>
      <c r="AV162" s="145"/>
      <c r="AW162" s="145"/>
      <c r="AX162" s="145"/>
      <c r="AY162" s="145"/>
      <c r="AZ162" s="145"/>
      <c r="BA162" s="145"/>
      <c r="BB162" s="145"/>
      <c r="BC162" s="145"/>
      <c r="BD162" s="145"/>
      <c r="BE162" s="145"/>
      <c r="BF162" s="145"/>
      <c r="HJ162" s="155"/>
      <c r="HK162" s="155"/>
    </row>
    <row r="163" spans="1:219" s="154" customFormat="1" ht="15" x14ac:dyDescent="0.25">
      <c r="A163" s="223">
        <f t="shared" si="212"/>
        <v>65</v>
      </c>
      <c r="B163" s="155" t="s">
        <v>95</v>
      </c>
      <c r="C163" s="40"/>
      <c r="D163" s="155"/>
      <c r="E163" s="41">
        <f t="shared" si="221"/>
        <v>4.28</v>
      </c>
      <c r="F163" s="161">
        <v>4.28</v>
      </c>
      <c r="G163" s="160"/>
      <c r="H163" s="160"/>
      <c r="I163" s="145">
        <f t="shared" si="224"/>
        <v>8.42</v>
      </c>
      <c r="J163" s="161">
        <v>8.42</v>
      </c>
      <c r="K163" s="159"/>
      <c r="L163" s="159"/>
      <c r="M163" s="154">
        <f>M159*1.129</f>
        <v>4.6936247876325092</v>
      </c>
      <c r="N163" s="161">
        <v>3.92</v>
      </c>
      <c r="O163" s="161">
        <v>3.93</v>
      </c>
      <c r="P163" s="145"/>
      <c r="Q163" s="145"/>
      <c r="R163" s="145"/>
      <c r="S163" s="145"/>
      <c r="T163" s="145"/>
      <c r="U163" s="159"/>
      <c r="V163" s="145"/>
      <c r="W163" s="145"/>
      <c r="X163" s="145"/>
      <c r="Y163" s="145"/>
      <c r="Z163" s="145"/>
      <c r="AA163" s="145"/>
      <c r="AB163" s="145"/>
      <c r="AC163" s="145"/>
      <c r="AD163" s="145"/>
      <c r="AE163" s="145"/>
      <c r="AF163" s="145"/>
      <c r="AG163" s="145"/>
      <c r="AH163" s="145"/>
      <c r="AI163" s="145"/>
      <c r="AJ163" s="145"/>
      <c r="AK163" s="145"/>
      <c r="AL163" s="145"/>
      <c r="AM163" s="145"/>
      <c r="AN163" s="145"/>
      <c r="AO163" s="145"/>
      <c r="AP163" s="145"/>
      <c r="AQ163" s="145"/>
      <c r="AR163" s="145"/>
      <c r="AS163" s="145"/>
      <c r="AT163" s="145"/>
      <c r="AU163" s="145"/>
      <c r="AV163" s="145"/>
      <c r="AW163" s="145"/>
      <c r="AX163" s="145"/>
      <c r="AY163" s="145"/>
      <c r="AZ163" s="145"/>
      <c r="BA163" s="145"/>
      <c r="BB163" s="145"/>
      <c r="BC163" s="145"/>
      <c r="BD163" s="145"/>
      <c r="BE163" s="145"/>
      <c r="BF163" s="145"/>
      <c r="HJ163" s="155"/>
      <c r="HK163" s="155"/>
    </row>
    <row r="164" spans="1:219" s="154" customFormat="1" ht="15" x14ac:dyDescent="0.25">
      <c r="A164" s="223">
        <f t="shared" si="212"/>
        <v>66</v>
      </c>
      <c r="B164" s="155" t="s">
        <v>96</v>
      </c>
      <c r="C164" s="40"/>
      <c r="D164" s="155"/>
      <c r="E164" s="41">
        <f t="shared" si="221"/>
        <v>4.28</v>
      </c>
      <c r="F164" s="161">
        <v>4.28</v>
      </c>
      <c r="G164" s="160"/>
      <c r="H164" s="160"/>
      <c r="I164" s="145">
        <f t="shared" si="224"/>
        <v>8.42</v>
      </c>
      <c r="J164" s="161">
        <v>8.42</v>
      </c>
      <c r="K164" s="159"/>
      <c r="L164" s="159"/>
      <c r="M164" s="154">
        <f t="shared" ref="M164:M166" si="230">M160*1.129</f>
        <v>4.6936247876325092</v>
      </c>
      <c r="N164" s="161">
        <v>3.92</v>
      </c>
      <c r="O164" s="161">
        <v>3.93</v>
      </c>
      <c r="P164" s="145"/>
      <c r="Q164" s="145"/>
      <c r="R164" s="145"/>
      <c r="S164" s="145"/>
      <c r="T164" s="145"/>
      <c r="U164" s="159"/>
      <c r="V164" s="145"/>
      <c r="W164" s="145"/>
      <c r="X164" s="145"/>
      <c r="Y164" s="145"/>
      <c r="Z164" s="145"/>
      <c r="AA164" s="145"/>
      <c r="AB164" s="145"/>
      <c r="AC164" s="145"/>
      <c r="AD164" s="145"/>
      <c r="AE164" s="145"/>
      <c r="AF164" s="145"/>
      <c r="AG164" s="145"/>
      <c r="AH164" s="145"/>
      <c r="AI164" s="145"/>
      <c r="AJ164" s="145"/>
      <c r="AK164" s="145"/>
      <c r="AL164" s="145"/>
      <c r="AM164" s="145"/>
      <c r="AN164" s="145"/>
      <c r="AO164" s="145"/>
      <c r="AP164" s="145"/>
      <c r="AQ164" s="145"/>
      <c r="AR164" s="145"/>
      <c r="AS164" s="145"/>
      <c r="AT164" s="145"/>
      <c r="AU164" s="145"/>
      <c r="AV164" s="145"/>
      <c r="AW164" s="145"/>
      <c r="AX164" s="145"/>
      <c r="AY164" s="145"/>
      <c r="AZ164" s="145"/>
      <c r="BA164" s="145"/>
      <c r="BB164" s="145"/>
      <c r="BC164" s="145"/>
      <c r="BD164" s="145"/>
      <c r="BE164" s="145"/>
      <c r="BF164" s="145"/>
      <c r="HJ164" s="155"/>
      <c r="HK164" s="155"/>
    </row>
    <row r="165" spans="1:219" s="154" customFormat="1" ht="15" x14ac:dyDescent="0.25">
      <c r="A165" s="223">
        <f t="shared" si="212"/>
        <v>67</v>
      </c>
      <c r="B165" s="155" t="s">
        <v>97</v>
      </c>
      <c r="C165" s="41" t="s">
        <v>1390</v>
      </c>
      <c r="D165" s="155"/>
      <c r="E165" s="41">
        <f t="shared" si="221"/>
        <v>4.28</v>
      </c>
      <c r="F165" s="161">
        <v>4.28</v>
      </c>
      <c r="G165" s="160"/>
      <c r="H165" s="160"/>
      <c r="I165" s="145">
        <f t="shared" si="224"/>
        <v>8.42</v>
      </c>
      <c r="J165" s="161">
        <v>8.42</v>
      </c>
      <c r="K165" s="159"/>
      <c r="L165" s="159"/>
      <c r="M165" s="154">
        <f t="shared" si="230"/>
        <v>4.6936247876325092</v>
      </c>
      <c r="N165" s="161">
        <v>3.92</v>
      </c>
      <c r="O165" s="161">
        <v>3.93</v>
      </c>
      <c r="P165" s="145"/>
      <c r="Q165" s="145"/>
      <c r="R165" s="145"/>
      <c r="S165" s="145"/>
      <c r="T165" s="145"/>
      <c r="U165" s="159"/>
      <c r="V165" s="145"/>
      <c r="W165" s="145"/>
      <c r="X165" s="145"/>
      <c r="Y165" s="145"/>
      <c r="Z165" s="145"/>
      <c r="AA165" s="145"/>
      <c r="AB165" s="145"/>
      <c r="AC165" s="145"/>
      <c r="AD165" s="145"/>
      <c r="AE165" s="145"/>
      <c r="AF165" s="145"/>
      <c r="AG165" s="145"/>
      <c r="AH165" s="145"/>
      <c r="AI165" s="145"/>
      <c r="AJ165" s="145"/>
      <c r="AK165" s="145"/>
      <c r="AL165" s="145"/>
      <c r="AM165" s="145"/>
      <c r="AN165" s="145"/>
      <c r="AO165" s="145"/>
      <c r="AP165" s="145"/>
      <c r="AQ165" s="145"/>
      <c r="AR165" s="145"/>
      <c r="AS165" s="145"/>
      <c r="AT165" s="145"/>
      <c r="AU165" s="145"/>
      <c r="AV165" s="145"/>
      <c r="AW165" s="145"/>
      <c r="AX165" s="145"/>
      <c r="AY165" s="145"/>
      <c r="AZ165" s="145"/>
      <c r="BA165" s="145"/>
      <c r="BB165" s="145"/>
      <c r="BC165" s="145"/>
      <c r="BD165" s="145"/>
      <c r="BE165" s="145"/>
      <c r="BF165" s="145"/>
      <c r="HJ165" s="155"/>
      <c r="HK165" s="155"/>
    </row>
    <row r="166" spans="1:219" s="154" customFormat="1" ht="15" x14ac:dyDescent="0.25">
      <c r="A166" s="223">
        <f t="shared" ref="A166:A182" si="231">A165+1</f>
        <v>68</v>
      </c>
      <c r="B166" s="155" t="s">
        <v>98</v>
      </c>
      <c r="C166" s="41" t="s">
        <v>1391</v>
      </c>
      <c r="D166" s="155"/>
      <c r="E166" s="41">
        <f t="shared" si="221"/>
        <v>4.28</v>
      </c>
      <c r="F166" s="161">
        <v>4.28</v>
      </c>
      <c r="G166" s="160"/>
      <c r="H166" s="160"/>
      <c r="I166" s="145">
        <f t="shared" si="224"/>
        <v>8.42</v>
      </c>
      <c r="J166" s="161">
        <v>8.42</v>
      </c>
      <c r="K166" s="159"/>
      <c r="L166" s="159"/>
      <c r="M166" s="154">
        <f t="shared" si="230"/>
        <v>4.6936247876325092</v>
      </c>
      <c r="N166" s="161">
        <v>3.95</v>
      </c>
      <c r="O166" s="161">
        <v>3.99</v>
      </c>
      <c r="P166" s="145"/>
      <c r="Q166" s="145"/>
      <c r="R166" s="145"/>
      <c r="S166" s="145"/>
      <c r="T166" s="145"/>
      <c r="U166" s="159"/>
      <c r="V166" s="145"/>
      <c r="W166" s="145"/>
      <c r="X166" s="145"/>
      <c r="Y166" s="145"/>
      <c r="Z166" s="145"/>
      <c r="AA166" s="145"/>
      <c r="AB166" s="145"/>
      <c r="AC166" s="145"/>
      <c r="AD166" s="145"/>
      <c r="AE166" s="145"/>
      <c r="AF166" s="145"/>
      <c r="AG166" s="145"/>
      <c r="AH166" s="145"/>
      <c r="AI166" s="145"/>
      <c r="AJ166" s="145"/>
      <c r="AK166" s="145"/>
      <c r="AL166" s="145"/>
      <c r="AM166" s="145"/>
      <c r="AN166" s="145"/>
      <c r="AO166" s="145"/>
      <c r="AP166" s="145"/>
      <c r="AQ166" s="145"/>
      <c r="AR166" s="145"/>
      <c r="AS166" s="145"/>
      <c r="AT166" s="145"/>
      <c r="AU166" s="145"/>
      <c r="AV166" s="145"/>
      <c r="AW166" s="145"/>
      <c r="AX166" s="145"/>
      <c r="AY166" s="145"/>
      <c r="AZ166" s="145"/>
      <c r="BA166" s="145"/>
      <c r="BB166" s="145"/>
      <c r="BC166" s="145"/>
      <c r="BD166" s="145"/>
      <c r="BE166" s="145"/>
      <c r="BF166" s="145"/>
      <c r="HJ166" s="155"/>
      <c r="HK166" s="155"/>
    </row>
    <row r="167" spans="1:219" s="154" customFormat="1" ht="15" x14ac:dyDescent="0.25">
      <c r="A167" s="223">
        <f t="shared" si="231"/>
        <v>69</v>
      </c>
      <c r="B167" s="155" t="s">
        <v>99</v>
      </c>
      <c r="C167" s="41" t="s">
        <v>1392</v>
      </c>
      <c r="D167" s="155"/>
      <c r="E167" s="41">
        <f t="shared" si="221"/>
        <v>4.28</v>
      </c>
      <c r="F167" s="161">
        <v>4.28</v>
      </c>
      <c r="G167" s="160"/>
      <c r="H167" s="160"/>
      <c r="I167" s="145">
        <f t="shared" si="224"/>
        <v>8.42</v>
      </c>
      <c r="J167" s="161">
        <v>8.42</v>
      </c>
      <c r="K167" s="159"/>
      <c r="L167" s="159"/>
      <c r="M167" s="154">
        <f>M163*1.054</f>
        <v>4.9470805261646653</v>
      </c>
      <c r="N167" s="161">
        <v>3.99</v>
      </c>
      <c r="O167" s="161">
        <v>3.99</v>
      </c>
      <c r="P167" s="145"/>
      <c r="Q167" s="145"/>
      <c r="R167" s="145"/>
      <c r="S167" s="145"/>
      <c r="T167" s="145"/>
      <c r="U167" s="159"/>
      <c r="V167" s="145"/>
      <c r="W167" s="145"/>
      <c r="X167" s="145"/>
      <c r="Y167" s="145"/>
      <c r="Z167" s="145"/>
      <c r="AA167" s="145"/>
      <c r="AB167" s="145"/>
      <c r="AC167" s="145"/>
      <c r="AD167" s="145"/>
      <c r="AE167" s="145"/>
      <c r="AF167" s="145"/>
      <c r="AG167" s="145"/>
      <c r="AH167" s="145"/>
      <c r="AI167" s="145"/>
      <c r="AJ167" s="145"/>
      <c r="AK167" s="145"/>
      <c r="AL167" s="145"/>
      <c r="AM167" s="145"/>
      <c r="AN167" s="145"/>
      <c r="AO167" s="145"/>
      <c r="AP167" s="145"/>
      <c r="AQ167" s="145"/>
      <c r="AR167" s="145"/>
      <c r="AS167" s="145"/>
      <c r="AT167" s="145"/>
      <c r="AU167" s="145"/>
      <c r="AV167" s="145"/>
      <c r="AW167" s="145"/>
      <c r="AX167" s="145"/>
      <c r="AY167" s="145"/>
      <c r="AZ167" s="145"/>
      <c r="BA167" s="145"/>
      <c r="BB167" s="145"/>
      <c r="BC167" s="145"/>
      <c r="BD167" s="145"/>
      <c r="BE167" s="145"/>
      <c r="BF167" s="145"/>
      <c r="HJ167" s="155"/>
      <c r="HK167" s="155"/>
    </row>
    <row r="168" spans="1:219" s="154" customFormat="1" ht="15" x14ac:dyDescent="0.25">
      <c r="A168" s="223">
        <f t="shared" si="231"/>
        <v>70</v>
      </c>
      <c r="B168" s="155" t="s">
        <v>100</v>
      </c>
      <c r="C168" s="40" t="s">
        <v>1419</v>
      </c>
      <c r="D168" s="155"/>
      <c r="E168" s="41">
        <v>4.28</v>
      </c>
      <c r="F168" s="224">
        <v>4.28</v>
      </c>
      <c r="G168" s="160"/>
      <c r="H168" s="160"/>
      <c r="I168" s="145">
        <v>8.42</v>
      </c>
      <c r="J168" s="224">
        <v>8.42</v>
      </c>
      <c r="K168" s="159"/>
      <c r="L168" s="159"/>
      <c r="M168" s="154">
        <f t="shared" ref="M168:M170" si="232">M164*1.054</f>
        <v>4.9470805261646653</v>
      </c>
      <c r="N168" s="224">
        <v>3.99</v>
      </c>
      <c r="O168" s="224">
        <v>3.99</v>
      </c>
      <c r="P168" s="145"/>
      <c r="Q168" s="145"/>
      <c r="R168" s="145"/>
      <c r="S168" s="145"/>
      <c r="T168" s="145"/>
      <c r="U168" s="159"/>
      <c r="V168" s="145"/>
      <c r="W168" s="145"/>
      <c r="X168" s="145"/>
      <c r="Y168" s="145"/>
      <c r="Z168" s="145"/>
      <c r="AA168" s="145"/>
      <c r="AB168" s="145"/>
      <c r="AC168" s="145"/>
      <c r="AD168" s="145"/>
      <c r="AE168" s="145"/>
      <c r="AF168" s="145"/>
      <c r="AG168" s="145"/>
      <c r="AH168" s="145"/>
      <c r="AI168" s="145"/>
      <c r="AJ168" s="145"/>
      <c r="AK168" s="145"/>
      <c r="AL168" s="145"/>
      <c r="AM168" s="145"/>
      <c r="AN168" s="145"/>
      <c r="AO168" s="145"/>
      <c r="AP168" s="145"/>
      <c r="AQ168" s="145"/>
      <c r="AR168" s="145"/>
      <c r="AS168" s="145"/>
      <c r="AT168" s="145"/>
      <c r="AU168" s="145"/>
      <c r="AV168" s="145"/>
      <c r="AW168" s="145"/>
      <c r="AX168" s="145"/>
      <c r="AY168" s="145"/>
      <c r="AZ168" s="145"/>
      <c r="BA168" s="145"/>
      <c r="BB168" s="145"/>
      <c r="BC168" s="145"/>
      <c r="BD168" s="145"/>
      <c r="BE168" s="145"/>
      <c r="BF168" s="145"/>
      <c r="HJ168" s="155"/>
      <c r="HK168" s="155"/>
    </row>
    <row r="169" spans="1:219" s="154" customFormat="1" ht="15" x14ac:dyDescent="0.25">
      <c r="A169" s="223">
        <f t="shared" si="231"/>
        <v>71</v>
      </c>
      <c r="B169" s="155" t="s">
        <v>101</v>
      </c>
      <c r="C169" s="40"/>
      <c r="D169" s="155"/>
      <c r="E169" s="41">
        <f t="shared" ref="E169:E182" si="233">IF($E$96=$F$96,F169,IF($E$96=$G$96,ROUND(G169/G$99,3),1))</f>
        <v>1</v>
      </c>
      <c r="F169" s="224">
        <v>1</v>
      </c>
      <c r="G169" s="160"/>
      <c r="H169" s="160"/>
      <c r="I169" s="145">
        <f t="shared" si="224"/>
        <v>1</v>
      </c>
      <c r="J169" s="224">
        <v>1</v>
      </c>
      <c r="K169" s="159"/>
      <c r="L169" s="159"/>
      <c r="M169" s="154">
        <f t="shared" si="232"/>
        <v>4.9470805261646653</v>
      </c>
      <c r="N169" s="224">
        <v>1</v>
      </c>
      <c r="O169" s="224">
        <v>1</v>
      </c>
      <c r="P169" s="145"/>
      <c r="Q169" s="145"/>
      <c r="R169" s="145"/>
      <c r="S169" s="145"/>
      <c r="T169" s="145"/>
      <c r="U169" s="159"/>
      <c r="V169" s="145"/>
      <c r="W169" s="145"/>
      <c r="X169" s="145"/>
      <c r="Y169" s="145"/>
      <c r="Z169" s="145"/>
      <c r="AA169" s="145"/>
      <c r="AB169" s="145"/>
      <c r="AC169" s="145"/>
      <c r="AD169" s="145"/>
      <c r="AE169" s="145"/>
      <c r="AF169" s="145"/>
      <c r="AG169" s="145"/>
      <c r="AH169" s="145"/>
      <c r="AI169" s="145"/>
      <c r="AJ169" s="145"/>
      <c r="AK169" s="145"/>
      <c r="AL169" s="145"/>
      <c r="AM169" s="145"/>
      <c r="AN169" s="145"/>
      <c r="AO169" s="145"/>
      <c r="AP169" s="145"/>
      <c r="AQ169" s="145"/>
      <c r="AR169" s="145"/>
      <c r="AS169" s="145"/>
      <c r="AT169" s="145"/>
      <c r="AU169" s="145"/>
      <c r="AV169" s="145"/>
      <c r="AW169" s="145"/>
      <c r="AX169" s="145"/>
      <c r="AY169" s="145"/>
      <c r="AZ169" s="145"/>
      <c r="BA169" s="145"/>
      <c r="BB169" s="145"/>
      <c r="BC169" s="145"/>
      <c r="BD169" s="145"/>
      <c r="BE169" s="145"/>
      <c r="BF169" s="145"/>
      <c r="HJ169" s="155"/>
      <c r="HK169" s="155"/>
    </row>
    <row r="170" spans="1:219" s="154" customFormat="1" ht="15" x14ac:dyDescent="0.25">
      <c r="A170" s="223">
        <f t="shared" si="231"/>
        <v>72</v>
      </c>
      <c r="B170" s="155" t="s">
        <v>102</v>
      </c>
      <c r="C170" s="40"/>
      <c r="D170" s="155"/>
      <c r="E170" s="41">
        <f t="shared" si="233"/>
        <v>1</v>
      </c>
      <c r="F170" s="224">
        <v>1</v>
      </c>
      <c r="G170" s="160"/>
      <c r="H170" s="160"/>
      <c r="I170" s="145">
        <f t="shared" si="224"/>
        <v>1</v>
      </c>
      <c r="J170" s="224">
        <v>1</v>
      </c>
      <c r="K170" s="159"/>
      <c r="L170" s="159"/>
      <c r="M170" s="154">
        <f t="shared" si="232"/>
        <v>4.9470805261646653</v>
      </c>
      <c r="N170" s="224">
        <v>1</v>
      </c>
      <c r="O170" s="224">
        <v>1</v>
      </c>
      <c r="P170" s="145"/>
      <c r="Q170" s="145"/>
      <c r="R170" s="145"/>
      <c r="S170" s="145"/>
      <c r="T170" s="145"/>
      <c r="U170" s="159"/>
      <c r="V170" s="145"/>
      <c r="W170" s="145"/>
      <c r="X170" s="145"/>
      <c r="Y170" s="145"/>
      <c r="Z170" s="145"/>
      <c r="AA170" s="145"/>
      <c r="AB170" s="145"/>
      <c r="AC170" s="145"/>
      <c r="AD170" s="145"/>
      <c r="AE170" s="145"/>
      <c r="AF170" s="145"/>
      <c r="AG170" s="145"/>
      <c r="AH170" s="145"/>
      <c r="AI170" s="145"/>
      <c r="AJ170" s="145"/>
      <c r="AK170" s="145"/>
      <c r="AL170" s="145"/>
      <c r="AM170" s="145"/>
      <c r="AN170" s="145"/>
      <c r="AO170" s="145"/>
      <c r="AP170" s="145"/>
      <c r="AQ170" s="145"/>
      <c r="AR170" s="145"/>
      <c r="AS170" s="145"/>
      <c r="AT170" s="145"/>
      <c r="AU170" s="145"/>
      <c r="AV170" s="145"/>
      <c r="AW170" s="145"/>
      <c r="AX170" s="145"/>
      <c r="AY170" s="145"/>
      <c r="AZ170" s="145"/>
      <c r="BA170" s="145"/>
      <c r="BB170" s="145"/>
      <c r="BC170" s="145"/>
      <c r="BD170" s="145"/>
      <c r="BE170" s="145"/>
      <c r="BF170" s="145"/>
      <c r="HJ170" s="155"/>
      <c r="HK170" s="155"/>
    </row>
    <row r="171" spans="1:219" s="154" customFormat="1" ht="15" x14ac:dyDescent="0.25">
      <c r="A171" s="223">
        <f t="shared" si="231"/>
        <v>73</v>
      </c>
      <c r="B171" s="155" t="s">
        <v>103</v>
      </c>
      <c r="C171" s="40"/>
      <c r="D171" s="155"/>
      <c r="E171" s="41">
        <f t="shared" si="233"/>
        <v>1</v>
      </c>
      <c r="F171" s="224">
        <v>1</v>
      </c>
      <c r="G171" s="160"/>
      <c r="H171" s="160"/>
      <c r="I171" s="145">
        <f t="shared" si="224"/>
        <v>1</v>
      </c>
      <c r="J171" s="224">
        <v>1</v>
      </c>
      <c r="K171" s="159"/>
      <c r="L171" s="159"/>
      <c r="M171" s="163">
        <f t="shared" ref="M171:M182" si="234">M167*1</f>
        <v>4.9470805261646653</v>
      </c>
      <c r="N171" s="224">
        <v>1</v>
      </c>
      <c r="O171" s="224">
        <v>1</v>
      </c>
      <c r="P171" s="145"/>
      <c r="Q171" s="145"/>
      <c r="R171" s="145"/>
      <c r="S171" s="145"/>
      <c r="T171" s="145"/>
      <c r="U171" s="159"/>
      <c r="V171" s="145"/>
      <c r="W171" s="145"/>
      <c r="X171" s="145"/>
      <c r="Y171" s="145"/>
      <c r="Z171" s="145"/>
      <c r="AA171" s="145"/>
      <c r="AB171" s="145"/>
      <c r="AC171" s="145"/>
      <c r="AD171" s="145"/>
      <c r="AE171" s="145"/>
      <c r="AF171" s="145"/>
      <c r="AG171" s="145"/>
      <c r="AH171" s="145"/>
      <c r="AI171" s="145"/>
      <c r="AJ171" s="145"/>
      <c r="AK171" s="145"/>
      <c r="AL171" s="145"/>
      <c r="AM171" s="145"/>
      <c r="AN171" s="145"/>
      <c r="AO171" s="145"/>
      <c r="AP171" s="145"/>
      <c r="AQ171" s="145"/>
      <c r="AR171" s="145"/>
      <c r="AS171" s="145"/>
      <c r="AT171" s="145"/>
      <c r="AU171" s="145"/>
      <c r="AV171" s="145"/>
      <c r="AW171" s="145"/>
      <c r="AX171" s="145"/>
      <c r="AY171" s="145"/>
      <c r="AZ171" s="145"/>
      <c r="BA171" s="145"/>
      <c r="BB171" s="145"/>
      <c r="BC171" s="145"/>
      <c r="BD171" s="145"/>
      <c r="BE171" s="145"/>
      <c r="BF171" s="145"/>
      <c r="HJ171" s="155"/>
      <c r="HK171" s="155"/>
    </row>
    <row r="172" spans="1:219" s="154" customFormat="1" ht="15" x14ac:dyDescent="0.25">
      <c r="A172" s="223">
        <f t="shared" si="231"/>
        <v>74</v>
      </c>
      <c r="B172" s="155" t="s">
        <v>104</v>
      </c>
      <c r="C172" s="40"/>
      <c r="D172" s="155"/>
      <c r="E172" s="41">
        <f t="shared" si="233"/>
        <v>1</v>
      </c>
      <c r="F172" s="224">
        <v>1</v>
      </c>
      <c r="G172" s="160"/>
      <c r="H172" s="160"/>
      <c r="I172" s="145">
        <f t="shared" si="224"/>
        <v>1</v>
      </c>
      <c r="J172" s="224">
        <v>1</v>
      </c>
      <c r="K172" s="159"/>
      <c r="L172" s="159"/>
      <c r="M172" s="163">
        <f t="shared" si="234"/>
        <v>4.9470805261646653</v>
      </c>
      <c r="N172" s="224">
        <v>1</v>
      </c>
      <c r="O172" s="224">
        <v>1</v>
      </c>
      <c r="P172" s="145"/>
      <c r="Q172" s="145"/>
      <c r="R172" s="145"/>
      <c r="S172" s="145"/>
      <c r="T172" s="145"/>
      <c r="U172" s="159"/>
      <c r="V172" s="145"/>
      <c r="W172" s="145"/>
      <c r="X172" s="145"/>
      <c r="Y172" s="145"/>
      <c r="Z172" s="145"/>
      <c r="AA172" s="145"/>
      <c r="AB172" s="145"/>
      <c r="AC172" s="145"/>
      <c r="AD172" s="145"/>
      <c r="AE172" s="145"/>
      <c r="AF172" s="145"/>
      <c r="AG172" s="145"/>
      <c r="AH172" s="145"/>
      <c r="AI172" s="145"/>
      <c r="AJ172" s="145"/>
      <c r="AK172" s="145"/>
      <c r="AL172" s="145"/>
      <c r="AM172" s="145"/>
      <c r="AN172" s="145"/>
      <c r="AO172" s="145"/>
      <c r="AP172" s="145"/>
      <c r="AQ172" s="145"/>
      <c r="AR172" s="145"/>
      <c r="AS172" s="145"/>
      <c r="AT172" s="145"/>
      <c r="AU172" s="145"/>
      <c r="AV172" s="145"/>
      <c r="AW172" s="145"/>
      <c r="AX172" s="145"/>
      <c r="AY172" s="145"/>
      <c r="AZ172" s="145"/>
      <c r="BA172" s="145"/>
      <c r="BB172" s="145"/>
      <c r="BC172" s="145"/>
      <c r="BD172" s="145"/>
      <c r="BE172" s="145"/>
      <c r="BF172" s="145"/>
      <c r="HJ172" s="155"/>
      <c r="HK172" s="155"/>
    </row>
    <row r="173" spans="1:219" s="154" customFormat="1" ht="15" x14ac:dyDescent="0.25">
      <c r="A173" s="223">
        <f t="shared" si="231"/>
        <v>75</v>
      </c>
      <c r="B173" s="155" t="s">
        <v>105</v>
      </c>
      <c r="C173" s="40"/>
      <c r="D173" s="155"/>
      <c r="E173" s="41">
        <f t="shared" si="233"/>
        <v>1</v>
      </c>
      <c r="F173" s="224">
        <v>1</v>
      </c>
      <c r="G173" s="160"/>
      <c r="H173" s="160"/>
      <c r="I173" s="145">
        <f t="shared" si="224"/>
        <v>1</v>
      </c>
      <c r="J173" s="224">
        <v>1</v>
      </c>
      <c r="K173" s="159"/>
      <c r="L173" s="159"/>
      <c r="M173" s="163">
        <f t="shared" si="234"/>
        <v>4.9470805261646653</v>
      </c>
      <c r="N173" s="224">
        <v>1</v>
      </c>
      <c r="O173" s="224">
        <v>1</v>
      </c>
      <c r="P173" s="145"/>
      <c r="Q173" s="145"/>
      <c r="R173" s="145"/>
      <c r="S173" s="145"/>
      <c r="T173" s="145"/>
      <c r="U173" s="159"/>
      <c r="V173" s="145"/>
      <c r="W173" s="145"/>
      <c r="X173" s="145"/>
      <c r="Y173" s="145"/>
      <c r="Z173" s="145"/>
      <c r="AA173" s="145"/>
      <c r="AB173" s="145"/>
      <c r="AC173" s="145"/>
      <c r="AD173" s="145"/>
      <c r="AE173" s="145"/>
      <c r="AF173" s="145"/>
      <c r="AG173" s="145"/>
      <c r="AH173" s="145"/>
      <c r="AI173" s="145"/>
      <c r="AJ173" s="145"/>
      <c r="AK173" s="145"/>
      <c r="AL173" s="145"/>
      <c r="AM173" s="145"/>
      <c r="AN173" s="145"/>
      <c r="AO173" s="145"/>
      <c r="AP173" s="145"/>
      <c r="AQ173" s="145"/>
      <c r="AR173" s="145"/>
      <c r="AS173" s="145"/>
      <c r="AT173" s="145"/>
      <c r="AU173" s="145"/>
      <c r="AV173" s="145"/>
      <c r="AW173" s="145"/>
      <c r="AX173" s="145"/>
      <c r="AY173" s="145"/>
      <c r="AZ173" s="145"/>
      <c r="BA173" s="145"/>
      <c r="BB173" s="145"/>
      <c r="BC173" s="145"/>
      <c r="BD173" s="145"/>
      <c r="BE173" s="145"/>
      <c r="BF173" s="145"/>
      <c r="HJ173" s="155"/>
      <c r="HK173" s="155"/>
    </row>
    <row r="174" spans="1:219" s="154" customFormat="1" ht="15" x14ac:dyDescent="0.25">
      <c r="A174" s="223">
        <f t="shared" si="231"/>
        <v>76</v>
      </c>
      <c r="B174" s="155" t="s">
        <v>106</v>
      </c>
      <c r="C174" s="40"/>
      <c r="D174" s="155"/>
      <c r="E174" s="41">
        <f t="shared" si="233"/>
        <v>1</v>
      </c>
      <c r="F174" s="224">
        <v>1</v>
      </c>
      <c r="G174" s="160"/>
      <c r="H174" s="160"/>
      <c r="I174" s="145">
        <f t="shared" si="224"/>
        <v>1</v>
      </c>
      <c r="J174" s="224">
        <v>1</v>
      </c>
      <c r="K174" s="159"/>
      <c r="L174" s="159"/>
      <c r="M174" s="163">
        <f t="shared" si="234"/>
        <v>4.9470805261646653</v>
      </c>
      <c r="N174" s="224">
        <v>1</v>
      </c>
      <c r="O174" s="224">
        <v>1</v>
      </c>
      <c r="P174" s="145"/>
      <c r="Q174" s="145"/>
      <c r="R174" s="145"/>
      <c r="S174" s="145"/>
      <c r="T174" s="145"/>
      <c r="U174" s="159"/>
      <c r="V174" s="145"/>
      <c r="W174" s="145"/>
      <c r="X174" s="145"/>
      <c r="Y174" s="145"/>
      <c r="Z174" s="145"/>
      <c r="AA174" s="145"/>
      <c r="AB174" s="145"/>
      <c r="AC174" s="145"/>
      <c r="AD174" s="145"/>
      <c r="AE174" s="145"/>
      <c r="AF174" s="145"/>
      <c r="AG174" s="145"/>
      <c r="AH174" s="145"/>
      <c r="AI174" s="145"/>
      <c r="AJ174" s="145"/>
      <c r="AK174" s="145"/>
      <c r="AL174" s="145"/>
      <c r="AM174" s="145"/>
      <c r="AN174" s="145"/>
      <c r="AO174" s="145"/>
      <c r="AP174" s="145"/>
      <c r="AQ174" s="145"/>
      <c r="AR174" s="145"/>
      <c r="AS174" s="145"/>
      <c r="AT174" s="145"/>
      <c r="AU174" s="145"/>
      <c r="AV174" s="145"/>
      <c r="AW174" s="145"/>
      <c r="AX174" s="145"/>
      <c r="AY174" s="145"/>
      <c r="AZ174" s="145"/>
      <c r="BA174" s="145"/>
      <c r="BB174" s="145"/>
      <c r="BC174" s="145"/>
      <c r="BD174" s="145"/>
      <c r="BE174" s="145"/>
      <c r="BF174" s="145"/>
      <c r="HJ174" s="155"/>
      <c r="HK174" s="155"/>
    </row>
    <row r="175" spans="1:219" s="154" customFormat="1" ht="15" x14ac:dyDescent="0.25">
      <c r="A175" s="223">
        <f t="shared" si="231"/>
        <v>77</v>
      </c>
      <c r="B175" s="155" t="s">
        <v>107</v>
      </c>
      <c r="C175" s="40"/>
      <c r="D175" s="155"/>
      <c r="E175" s="41">
        <f t="shared" si="233"/>
        <v>1</v>
      </c>
      <c r="F175" s="224">
        <v>1</v>
      </c>
      <c r="G175" s="160"/>
      <c r="H175" s="160"/>
      <c r="I175" s="145">
        <f t="shared" si="224"/>
        <v>1</v>
      </c>
      <c r="J175" s="224">
        <v>1</v>
      </c>
      <c r="K175" s="159"/>
      <c r="L175" s="159"/>
      <c r="M175" s="163">
        <f t="shared" si="234"/>
        <v>4.9470805261646653</v>
      </c>
      <c r="N175" s="224">
        <v>1</v>
      </c>
      <c r="O175" s="224">
        <v>1</v>
      </c>
      <c r="P175" s="145"/>
      <c r="Q175" s="145"/>
      <c r="R175" s="145"/>
      <c r="S175" s="145"/>
      <c r="T175" s="145"/>
      <c r="U175" s="159"/>
      <c r="V175" s="145"/>
      <c r="W175" s="145"/>
      <c r="X175" s="145"/>
      <c r="Y175" s="145"/>
      <c r="Z175" s="145"/>
      <c r="AA175" s="145"/>
      <c r="AB175" s="145"/>
      <c r="AC175" s="145"/>
      <c r="AD175" s="145"/>
      <c r="AE175" s="145"/>
      <c r="AF175" s="145"/>
      <c r="AG175" s="145"/>
      <c r="AH175" s="145"/>
      <c r="AI175" s="145"/>
      <c r="AJ175" s="145"/>
      <c r="AK175" s="145"/>
      <c r="AL175" s="145"/>
      <c r="AM175" s="145"/>
      <c r="AN175" s="145"/>
      <c r="AO175" s="145"/>
      <c r="AP175" s="145"/>
      <c r="AQ175" s="145"/>
      <c r="AR175" s="145"/>
      <c r="AS175" s="145"/>
      <c r="AT175" s="145"/>
      <c r="AU175" s="145"/>
      <c r="AV175" s="145"/>
      <c r="AW175" s="145"/>
      <c r="AX175" s="145"/>
      <c r="AY175" s="145"/>
      <c r="AZ175" s="145"/>
      <c r="BA175" s="145"/>
      <c r="BB175" s="145"/>
      <c r="BC175" s="145"/>
      <c r="BD175" s="145"/>
      <c r="BE175" s="145"/>
      <c r="BF175" s="145"/>
      <c r="HJ175" s="155"/>
      <c r="HK175" s="155"/>
    </row>
    <row r="176" spans="1:219" s="154" customFormat="1" ht="15" x14ac:dyDescent="0.25">
      <c r="A176" s="223">
        <f t="shared" si="231"/>
        <v>78</v>
      </c>
      <c r="B176" s="155" t="s">
        <v>108</v>
      </c>
      <c r="C176" s="40"/>
      <c r="D176" s="155"/>
      <c r="E176" s="41">
        <f t="shared" si="233"/>
        <v>1</v>
      </c>
      <c r="F176" s="224">
        <v>1</v>
      </c>
      <c r="G176" s="160"/>
      <c r="H176" s="160"/>
      <c r="I176" s="145">
        <f t="shared" si="224"/>
        <v>1</v>
      </c>
      <c r="J176" s="224">
        <v>1</v>
      </c>
      <c r="K176" s="159"/>
      <c r="L176" s="159"/>
      <c r="M176" s="163">
        <f t="shared" si="234"/>
        <v>4.9470805261646653</v>
      </c>
      <c r="N176" s="224">
        <v>1</v>
      </c>
      <c r="O176" s="224">
        <v>1</v>
      </c>
      <c r="P176" s="145"/>
      <c r="Q176" s="145"/>
      <c r="R176" s="145"/>
      <c r="S176" s="145"/>
      <c r="T176" s="145"/>
      <c r="U176" s="159"/>
      <c r="V176" s="145"/>
      <c r="W176" s="145"/>
      <c r="X176" s="145"/>
      <c r="Y176" s="145"/>
      <c r="Z176" s="145"/>
      <c r="AA176" s="145"/>
      <c r="AB176" s="145"/>
      <c r="AC176" s="145"/>
      <c r="AD176" s="145"/>
      <c r="AE176" s="145"/>
      <c r="AF176" s="145"/>
      <c r="AG176" s="145"/>
      <c r="AH176" s="145"/>
      <c r="AI176" s="145"/>
      <c r="AJ176" s="145"/>
      <c r="AK176" s="145"/>
      <c r="AL176" s="145"/>
      <c r="AM176" s="145"/>
      <c r="AN176" s="145"/>
      <c r="AO176" s="145"/>
      <c r="AP176" s="145"/>
      <c r="AQ176" s="145"/>
      <c r="AR176" s="145"/>
      <c r="AS176" s="145"/>
      <c r="AT176" s="145"/>
      <c r="AU176" s="145"/>
      <c r="AV176" s="145"/>
      <c r="AW176" s="145"/>
      <c r="AX176" s="145"/>
      <c r="AY176" s="145"/>
      <c r="AZ176" s="145"/>
      <c r="BA176" s="145"/>
      <c r="BB176" s="145"/>
      <c r="BC176" s="145"/>
      <c r="BD176" s="145"/>
      <c r="BE176" s="145"/>
      <c r="BF176" s="145"/>
      <c r="HJ176" s="155"/>
      <c r="HK176" s="155"/>
    </row>
    <row r="177" spans="1:219" s="154" customFormat="1" ht="15" x14ac:dyDescent="0.25">
      <c r="A177" s="223">
        <f t="shared" si="231"/>
        <v>79</v>
      </c>
      <c r="B177" s="155" t="s">
        <v>109</v>
      </c>
      <c r="C177" s="40"/>
      <c r="D177" s="155"/>
      <c r="E177" s="41">
        <f t="shared" si="233"/>
        <v>1</v>
      </c>
      <c r="F177" s="224">
        <v>1</v>
      </c>
      <c r="G177" s="160"/>
      <c r="H177" s="160"/>
      <c r="I177" s="145">
        <f t="shared" si="224"/>
        <v>1</v>
      </c>
      <c r="J177" s="224">
        <v>1</v>
      </c>
      <c r="K177" s="159"/>
      <c r="L177" s="159"/>
      <c r="M177" s="163">
        <f t="shared" si="234"/>
        <v>4.9470805261646653</v>
      </c>
      <c r="N177" s="224">
        <v>1</v>
      </c>
      <c r="O177" s="224">
        <v>1</v>
      </c>
      <c r="P177" s="145"/>
      <c r="Q177" s="145"/>
      <c r="R177" s="145"/>
      <c r="S177" s="145"/>
      <c r="T177" s="145"/>
      <c r="U177" s="159"/>
      <c r="V177" s="145"/>
      <c r="W177" s="145"/>
      <c r="X177" s="145"/>
      <c r="Y177" s="145"/>
      <c r="Z177" s="145"/>
      <c r="AA177" s="145"/>
      <c r="AB177" s="145"/>
      <c r="AC177" s="145"/>
      <c r="AD177" s="145"/>
      <c r="AE177" s="145"/>
      <c r="AF177" s="145"/>
      <c r="AG177" s="145"/>
      <c r="AH177" s="145"/>
      <c r="AI177" s="145"/>
      <c r="AJ177" s="145"/>
      <c r="AK177" s="145"/>
      <c r="AL177" s="145"/>
      <c r="AM177" s="145"/>
      <c r="AN177" s="145"/>
      <c r="AO177" s="145"/>
      <c r="AP177" s="145"/>
      <c r="AQ177" s="145"/>
      <c r="AR177" s="145"/>
      <c r="AS177" s="145"/>
      <c r="AT177" s="145"/>
      <c r="AU177" s="145"/>
      <c r="AV177" s="145"/>
      <c r="AW177" s="145"/>
      <c r="AX177" s="145"/>
      <c r="AY177" s="145"/>
      <c r="AZ177" s="145"/>
      <c r="BA177" s="145"/>
      <c r="BB177" s="145"/>
      <c r="BC177" s="145"/>
      <c r="BD177" s="145"/>
      <c r="BE177" s="145"/>
      <c r="BF177" s="145"/>
      <c r="HJ177" s="155"/>
      <c r="HK177" s="155"/>
    </row>
    <row r="178" spans="1:219" s="154" customFormat="1" ht="15" x14ac:dyDescent="0.25">
      <c r="A178" s="223">
        <f t="shared" si="231"/>
        <v>80</v>
      </c>
      <c r="B178" s="155" t="s">
        <v>110</v>
      </c>
      <c r="C178" s="40"/>
      <c r="D178" s="155"/>
      <c r="E178" s="41">
        <f t="shared" si="233"/>
        <v>1</v>
      </c>
      <c r="F178" s="224">
        <v>1</v>
      </c>
      <c r="G178" s="160"/>
      <c r="H178" s="160"/>
      <c r="I178" s="145">
        <f t="shared" si="224"/>
        <v>1</v>
      </c>
      <c r="J178" s="224">
        <v>1</v>
      </c>
      <c r="K178" s="159"/>
      <c r="L178" s="159"/>
      <c r="M178" s="163">
        <f t="shared" si="234"/>
        <v>4.9470805261646653</v>
      </c>
      <c r="N178" s="224">
        <v>1</v>
      </c>
      <c r="O178" s="224">
        <v>1</v>
      </c>
      <c r="P178" s="145"/>
      <c r="Q178" s="145"/>
      <c r="R178" s="145"/>
      <c r="S178" s="145"/>
      <c r="T178" s="145"/>
      <c r="U178" s="159"/>
      <c r="V178" s="145"/>
      <c r="W178" s="145"/>
      <c r="X178" s="145"/>
      <c r="Y178" s="145"/>
      <c r="Z178" s="145"/>
      <c r="AA178" s="145"/>
      <c r="AB178" s="145"/>
      <c r="AC178" s="145"/>
      <c r="AD178" s="145"/>
      <c r="AE178" s="145"/>
      <c r="AF178" s="145"/>
      <c r="AG178" s="145"/>
      <c r="AH178" s="145"/>
      <c r="AI178" s="145"/>
      <c r="AJ178" s="145"/>
      <c r="AK178" s="145"/>
      <c r="AL178" s="145"/>
      <c r="AM178" s="145"/>
      <c r="AN178" s="145"/>
      <c r="AO178" s="145"/>
      <c r="AP178" s="145"/>
      <c r="AQ178" s="145"/>
      <c r="AR178" s="145"/>
      <c r="AS178" s="145"/>
      <c r="AT178" s="145"/>
      <c r="AU178" s="145"/>
      <c r="AV178" s="145"/>
      <c r="AW178" s="145"/>
      <c r="AX178" s="145"/>
      <c r="AY178" s="145"/>
      <c r="AZ178" s="145"/>
      <c r="BA178" s="145"/>
      <c r="BB178" s="145"/>
      <c r="BC178" s="145"/>
      <c r="BD178" s="145"/>
      <c r="BE178" s="145"/>
      <c r="BF178" s="145"/>
      <c r="HJ178" s="155"/>
      <c r="HK178" s="155"/>
    </row>
    <row r="179" spans="1:219" s="154" customFormat="1" ht="15" x14ac:dyDescent="0.25">
      <c r="A179" s="223">
        <f t="shared" si="231"/>
        <v>81</v>
      </c>
      <c r="B179" s="155" t="s">
        <v>111</v>
      </c>
      <c r="C179" s="40"/>
      <c r="D179" s="155"/>
      <c r="E179" s="41">
        <f t="shared" si="233"/>
        <v>1</v>
      </c>
      <c r="F179" s="224">
        <v>1</v>
      </c>
      <c r="G179" s="160"/>
      <c r="H179" s="160"/>
      <c r="I179" s="145">
        <f t="shared" si="224"/>
        <v>1</v>
      </c>
      <c r="J179" s="224">
        <v>1</v>
      </c>
      <c r="K179" s="159"/>
      <c r="L179" s="159"/>
      <c r="M179" s="163">
        <f t="shared" si="234"/>
        <v>4.9470805261646653</v>
      </c>
      <c r="N179" s="224">
        <v>1</v>
      </c>
      <c r="O179" s="224">
        <v>1</v>
      </c>
      <c r="P179" s="145"/>
      <c r="Q179" s="145"/>
      <c r="R179" s="145"/>
      <c r="S179" s="145"/>
      <c r="T179" s="145"/>
      <c r="U179" s="159"/>
      <c r="V179" s="145"/>
      <c r="W179" s="145"/>
      <c r="X179" s="145"/>
      <c r="Y179" s="145"/>
      <c r="Z179" s="145"/>
      <c r="AA179" s="145"/>
      <c r="AB179" s="145"/>
      <c r="AC179" s="145"/>
      <c r="AD179" s="145"/>
      <c r="AE179" s="145"/>
      <c r="AF179" s="145"/>
      <c r="AG179" s="145"/>
      <c r="AH179" s="145"/>
      <c r="AI179" s="145"/>
      <c r="AJ179" s="145"/>
      <c r="AK179" s="145"/>
      <c r="AL179" s="145"/>
      <c r="AM179" s="145"/>
      <c r="AN179" s="145"/>
      <c r="AO179" s="145"/>
      <c r="AP179" s="145"/>
      <c r="AQ179" s="145"/>
      <c r="AR179" s="145"/>
      <c r="AS179" s="145"/>
      <c r="AT179" s="145"/>
      <c r="AU179" s="145"/>
      <c r="AV179" s="145"/>
      <c r="AW179" s="145"/>
      <c r="AX179" s="145"/>
      <c r="AY179" s="145"/>
      <c r="AZ179" s="145"/>
      <c r="BA179" s="145"/>
      <c r="BB179" s="145"/>
      <c r="BC179" s="145"/>
      <c r="BD179" s="145"/>
      <c r="BE179" s="145"/>
      <c r="BF179" s="145"/>
      <c r="HJ179" s="155"/>
      <c r="HK179" s="155"/>
    </row>
    <row r="180" spans="1:219" s="154" customFormat="1" ht="15" x14ac:dyDescent="0.25">
      <c r="A180" s="223">
        <f t="shared" si="231"/>
        <v>82</v>
      </c>
      <c r="B180" s="155" t="s">
        <v>112</v>
      </c>
      <c r="C180" s="40"/>
      <c r="D180" s="155"/>
      <c r="E180" s="41">
        <f t="shared" si="233"/>
        <v>1</v>
      </c>
      <c r="F180" s="224">
        <v>1</v>
      </c>
      <c r="G180" s="160"/>
      <c r="H180" s="160"/>
      <c r="I180" s="145">
        <f t="shared" si="224"/>
        <v>1</v>
      </c>
      <c r="J180" s="224">
        <v>1</v>
      </c>
      <c r="K180" s="159"/>
      <c r="L180" s="159"/>
      <c r="M180" s="163">
        <f t="shared" si="234"/>
        <v>4.9470805261646653</v>
      </c>
      <c r="N180" s="224">
        <v>1</v>
      </c>
      <c r="O180" s="224">
        <v>1</v>
      </c>
      <c r="P180" s="145"/>
      <c r="Q180" s="145"/>
      <c r="R180" s="145"/>
      <c r="S180" s="145"/>
      <c r="T180" s="145"/>
      <c r="U180" s="159"/>
      <c r="V180" s="145"/>
      <c r="W180" s="145"/>
      <c r="X180" s="145"/>
      <c r="Y180" s="145"/>
      <c r="Z180" s="145"/>
      <c r="AA180" s="145"/>
      <c r="AB180" s="145"/>
      <c r="AC180" s="145"/>
      <c r="AD180" s="145"/>
      <c r="AE180" s="145"/>
      <c r="AF180" s="145"/>
      <c r="AG180" s="145"/>
      <c r="AH180" s="145"/>
      <c r="AI180" s="145"/>
      <c r="AJ180" s="145"/>
      <c r="AK180" s="145"/>
      <c r="AL180" s="145"/>
      <c r="AM180" s="145"/>
      <c r="AN180" s="145"/>
      <c r="AO180" s="145"/>
      <c r="AP180" s="145"/>
      <c r="AQ180" s="145"/>
      <c r="AR180" s="145"/>
      <c r="AS180" s="145"/>
      <c r="AT180" s="145"/>
      <c r="AU180" s="145"/>
      <c r="AV180" s="145"/>
      <c r="AW180" s="145"/>
      <c r="AX180" s="145"/>
      <c r="AY180" s="145"/>
      <c r="AZ180" s="145"/>
      <c r="BA180" s="145"/>
      <c r="BB180" s="145"/>
      <c r="BC180" s="145"/>
      <c r="BD180" s="145"/>
      <c r="BE180" s="145"/>
      <c r="BF180" s="145"/>
      <c r="HJ180" s="155"/>
      <c r="HK180" s="155"/>
    </row>
    <row r="181" spans="1:219" s="154" customFormat="1" ht="15" x14ac:dyDescent="0.25">
      <c r="A181" s="223">
        <f t="shared" si="231"/>
        <v>83</v>
      </c>
      <c r="B181" s="155" t="s">
        <v>113</v>
      </c>
      <c r="C181" s="40"/>
      <c r="D181" s="155"/>
      <c r="E181" s="41">
        <f t="shared" si="233"/>
        <v>1</v>
      </c>
      <c r="F181" s="224">
        <v>1</v>
      </c>
      <c r="G181" s="160"/>
      <c r="H181" s="160"/>
      <c r="I181" s="145">
        <f t="shared" si="224"/>
        <v>1</v>
      </c>
      <c r="J181" s="224">
        <v>1</v>
      </c>
      <c r="K181" s="159"/>
      <c r="L181" s="159"/>
      <c r="M181" s="163">
        <f t="shared" si="234"/>
        <v>4.9470805261646653</v>
      </c>
      <c r="N181" s="224">
        <v>1</v>
      </c>
      <c r="O181" s="224">
        <v>1</v>
      </c>
      <c r="P181" s="145"/>
      <c r="Q181" s="145"/>
      <c r="R181" s="145"/>
      <c r="S181" s="145"/>
      <c r="T181" s="145"/>
      <c r="U181" s="159"/>
      <c r="V181" s="145"/>
      <c r="W181" s="145"/>
      <c r="X181" s="145"/>
      <c r="Y181" s="145"/>
      <c r="Z181" s="145"/>
      <c r="AA181" s="145"/>
      <c r="AB181" s="145"/>
      <c r="AC181" s="145"/>
      <c r="AD181" s="145"/>
      <c r="AE181" s="145"/>
      <c r="AF181" s="145"/>
      <c r="AG181" s="145"/>
      <c r="AH181" s="145"/>
      <c r="AI181" s="145"/>
      <c r="AJ181" s="145"/>
      <c r="AK181" s="145"/>
      <c r="AL181" s="145"/>
      <c r="AM181" s="145"/>
      <c r="AN181" s="145"/>
      <c r="AO181" s="145"/>
      <c r="AP181" s="145"/>
      <c r="AQ181" s="145"/>
      <c r="AR181" s="145"/>
      <c r="AS181" s="145"/>
      <c r="AT181" s="145"/>
      <c r="AU181" s="145"/>
      <c r="AV181" s="145"/>
      <c r="AW181" s="145"/>
      <c r="AX181" s="145"/>
      <c r="AY181" s="145"/>
      <c r="AZ181" s="145"/>
      <c r="BA181" s="145"/>
      <c r="BB181" s="145"/>
      <c r="BC181" s="145"/>
      <c r="BD181" s="145"/>
      <c r="BE181" s="145"/>
      <c r="BF181" s="145"/>
      <c r="HJ181" s="155"/>
      <c r="HK181" s="155"/>
    </row>
    <row r="182" spans="1:219" s="154" customFormat="1" ht="15" x14ac:dyDescent="0.25">
      <c r="A182" s="223">
        <f t="shared" si="231"/>
        <v>84</v>
      </c>
      <c r="B182" s="155" t="s">
        <v>114</v>
      </c>
      <c r="C182" s="40"/>
      <c r="D182" s="155"/>
      <c r="E182" s="41">
        <f t="shared" si="233"/>
        <v>1</v>
      </c>
      <c r="F182" s="224">
        <v>1</v>
      </c>
      <c r="G182" s="160"/>
      <c r="H182" s="160"/>
      <c r="I182" s="145">
        <f t="shared" si="224"/>
        <v>1</v>
      </c>
      <c r="J182" s="224">
        <v>1</v>
      </c>
      <c r="K182" s="159"/>
      <c r="L182" s="159"/>
      <c r="M182" s="163">
        <f t="shared" si="234"/>
        <v>4.9470805261646653</v>
      </c>
      <c r="N182" s="224">
        <v>1</v>
      </c>
      <c r="O182" s="224">
        <v>1</v>
      </c>
      <c r="P182" s="145"/>
      <c r="Q182" s="145"/>
      <c r="R182" s="145"/>
      <c r="S182" s="145"/>
      <c r="T182" s="145"/>
      <c r="U182" s="159"/>
      <c r="V182" s="145"/>
      <c r="W182" s="145"/>
      <c r="X182" s="145"/>
      <c r="Y182" s="145"/>
      <c r="Z182" s="145"/>
      <c r="AA182" s="145"/>
      <c r="AB182" s="145"/>
      <c r="AC182" s="145"/>
      <c r="AD182" s="145"/>
      <c r="AE182" s="145"/>
      <c r="AF182" s="145"/>
      <c r="AG182" s="145"/>
      <c r="AH182" s="145"/>
      <c r="AI182" s="145"/>
      <c r="AJ182" s="145"/>
      <c r="AK182" s="145"/>
      <c r="AL182" s="145"/>
      <c r="AM182" s="145"/>
      <c r="AN182" s="145"/>
      <c r="AO182" s="145"/>
      <c r="AP182" s="145"/>
      <c r="AQ182" s="145"/>
      <c r="AR182" s="145"/>
      <c r="AS182" s="145"/>
      <c r="AT182" s="145"/>
      <c r="AU182" s="145"/>
      <c r="AV182" s="145"/>
      <c r="AW182" s="145"/>
      <c r="AX182" s="145"/>
      <c r="AY182" s="145"/>
      <c r="AZ182" s="145"/>
      <c r="BA182" s="145"/>
      <c r="BB182" s="145"/>
      <c r="BC182" s="145"/>
      <c r="BD182" s="145"/>
      <c r="BE182" s="145"/>
      <c r="BF182" s="145"/>
      <c r="HJ182" s="155"/>
      <c r="HK182" s="155"/>
    </row>
  </sheetData>
  <sheetProtection formatCells="0" formatColumns="0" formatRows="0" insertColumns="0" insertRows="0" insertHyperlinks="0" deleteColumns="0" deleteRows="0" sort="0" autoFilter="0" pivotTables="0"/>
  <mergeCells count="1">
    <mergeCell ref="C4:F4"/>
  </mergeCells>
  <conditionalFormatting sqref="AE6:BB91">
    <cfRule type="cellIs" dxfId="11" priority="14" operator="equal">
      <formula>1</formula>
    </cfRule>
  </conditionalFormatting>
  <conditionalFormatting sqref="DW6:ET91 GI6:HF91 N159:O182 F159:F182 J159:J182 BK6:CH91 CQ6:DN91 FC6:FZ91">
    <cfRule type="cellIs" dxfId="10" priority="13" operator="equal">
      <formula>1</formula>
    </cfRule>
  </conditionalFormatting>
  <conditionalFormatting sqref="C159:C182">
    <cfRule type="containsBlanks" dxfId="9" priority="5">
      <formula>LEN(TRIM(C159))=0</formula>
    </cfRule>
  </conditionalFormatting>
  <pageMargins left="0.7" right="0.7" top="0.75" bottom="0.75" header="0.3" footer="0.3"/>
  <pageSetup paperSize="9" orientation="portrait" horizontalDpi="4294967293" verticalDpi="4294967293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theme="7" tint="0.59999389629810485"/>
    <pageSetUpPr fitToPage="1"/>
  </sheetPr>
  <dimension ref="A1:I36"/>
  <sheetViews>
    <sheetView workbookViewId="0">
      <selection activeCell="C8" sqref="C8"/>
    </sheetView>
  </sheetViews>
  <sheetFormatPr defaultRowHeight="15" x14ac:dyDescent="0.25"/>
  <cols>
    <col min="1" max="1" width="5.140625" style="154" bestFit="1" customWidth="1"/>
    <col min="2" max="2" width="13.7109375" style="154" customWidth="1"/>
    <col min="3" max="3" width="43" style="154" customWidth="1"/>
    <col min="4" max="4" width="12.7109375" style="154" customWidth="1"/>
    <col min="5" max="5" width="28.28515625" style="154" customWidth="1"/>
    <col min="6" max="6" width="18.28515625" style="154" customWidth="1"/>
    <col min="7" max="16384" width="9.140625" style="154"/>
  </cols>
  <sheetData>
    <row r="1" spans="1:6" x14ac:dyDescent="0.25">
      <c r="A1" s="456"/>
      <c r="B1" s="163"/>
      <c r="C1" s="163"/>
      <c r="D1" s="457"/>
      <c r="E1" s="573" t="s">
        <v>1380</v>
      </c>
      <c r="F1" s="573"/>
    </row>
    <row r="2" spans="1:6" ht="15" customHeight="1" x14ac:dyDescent="0.25">
      <c r="A2" s="456"/>
      <c r="B2" s="163"/>
      <c r="C2" s="163"/>
      <c r="D2" s="458"/>
      <c r="E2" s="577" t="str">
        <f>IF('Расчет стоимости'!$P$13&lt;35,"           ","Заместитель генерального директора по инвестиционной деятельности 
''ПАО МРСК Северо-Запада''")</f>
        <v>Заместитель генерального директора по инвестиционной деятельности 
''ПАО МРСК Северо-Запада''</v>
      </c>
      <c r="F2" s="577"/>
    </row>
    <row r="3" spans="1:6" ht="35.25" customHeight="1" x14ac:dyDescent="0.25">
      <c r="A3" s="456"/>
      <c r="B3" s="163"/>
      <c r="C3" s="163"/>
      <c r="D3" s="459"/>
      <c r="E3" s="577"/>
      <c r="F3" s="577"/>
    </row>
    <row r="4" spans="1:6" x14ac:dyDescent="0.25">
      <c r="A4" s="456"/>
      <c r="B4" s="163"/>
      <c r="C4" s="163"/>
      <c r="D4" s="458"/>
      <c r="E4" s="574" t="str">
        <f>IF('Расчет стоимости'!$P$13&lt;35,"________________________________ /___________/","________________________________ /B.B. Нестеренко/")</f>
        <v>________________________________ /B.B. Нестеренко/</v>
      </c>
      <c r="F4" s="575"/>
    </row>
    <row r="5" spans="1:6" x14ac:dyDescent="0.25">
      <c r="A5" s="456"/>
      <c r="B5" s="163"/>
      <c r="C5" s="163"/>
      <c r="D5" s="460"/>
      <c r="E5" s="685">
        <f ca="1">TODAY()</f>
        <v>43621</v>
      </c>
      <c r="F5" s="685"/>
    </row>
    <row r="6" spans="1:6" x14ac:dyDescent="0.25">
      <c r="A6" s="456"/>
      <c r="B6" s="456"/>
      <c r="C6" s="456"/>
      <c r="D6" s="456"/>
      <c r="E6" s="456"/>
      <c r="F6" s="456"/>
    </row>
    <row r="7" spans="1:6" ht="33" customHeight="1" x14ac:dyDescent="0.25">
      <c r="A7" s="686" t="str">
        <f>CONCATENATE("Расчет начальной максимальной цены лота на выполнение проектно-изыскательских работ по объекту: ",'Расчет стоимости'!C5,". ''",'Расчет стоимости'!C6,"''")</f>
        <v>Расчет начальной максимальной цены лота на выполнение проектно-изыскательских работ по объекту: I_005-51-1-03.13-0007. ''Техническое перевооружение ПС 110/6,6/6,3 кВ «Воргашорская»: замена ОД и КЗ 110 кВ на элегазовые выключатели 110 кВ (2 шт.) г. Воркута Республика Коми''</v>
      </c>
      <c r="B7" s="686"/>
      <c r="C7" s="686"/>
      <c r="D7" s="686"/>
      <c r="E7" s="686"/>
      <c r="F7" s="686"/>
    </row>
    <row r="8" spans="1:6" x14ac:dyDescent="0.25">
      <c r="A8" s="687"/>
      <c r="B8" s="687"/>
      <c r="C8" s="687"/>
      <c r="D8" s="687"/>
      <c r="E8" s="687"/>
      <c r="F8" s="687"/>
    </row>
    <row r="9" spans="1:6" x14ac:dyDescent="0.25">
      <c r="A9" s="456" t="str">
        <f>CONCATENATE("Составлен в базисных ценах 2000 г. с пересчетом в текущие (прогнозные) цены на ",'НМЦ лота'!E10," г.")</f>
        <v>Составлен в базисных ценах 2000 г. с пересчетом в текущие (прогнозные) цены на 2024 г.</v>
      </c>
      <c r="B9" s="461"/>
      <c r="C9" s="461"/>
      <c r="D9" s="461"/>
      <c r="E9" s="461"/>
      <c r="F9" s="461"/>
    </row>
    <row r="10" spans="1:6" ht="15.75" thickBot="1" x14ac:dyDescent="0.3">
      <c r="A10" s="281"/>
      <c r="B10" s="281"/>
      <c r="C10" s="281"/>
      <c r="D10" s="281"/>
      <c r="E10" s="281"/>
      <c r="F10" s="281"/>
    </row>
    <row r="11" spans="1:6" x14ac:dyDescent="0.25">
      <c r="A11" s="688" t="s">
        <v>325</v>
      </c>
      <c r="B11" s="691" t="s">
        <v>1381</v>
      </c>
      <c r="C11" s="692"/>
      <c r="D11" s="693"/>
      <c r="E11" s="700" t="s">
        <v>13</v>
      </c>
      <c r="F11" s="703" t="s">
        <v>1382</v>
      </c>
    </row>
    <row r="12" spans="1:6" x14ac:dyDescent="0.25">
      <c r="A12" s="689"/>
      <c r="B12" s="694"/>
      <c r="C12" s="695"/>
      <c r="D12" s="696"/>
      <c r="E12" s="701"/>
      <c r="F12" s="704"/>
    </row>
    <row r="13" spans="1:6" x14ac:dyDescent="0.25">
      <c r="A13" s="689"/>
      <c r="B13" s="694"/>
      <c r="C13" s="695"/>
      <c r="D13" s="696"/>
      <c r="E13" s="701"/>
      <c r="F13" s="704"/>
    </row>
    <row r="14" spans="1:6" ht="15.75" thickBot="1" x14ac:dyDescent="0.3">
      <c r="A14" s="690"/>
      <c r="B14" s="697"/>
      <c r="C14" s="698"/>
      <c r="D14" s="699"/>
      <c r="E14" s="702"/>
      <c r="F14" s="705"/>
    </row>
    <row r="15" spans="1:6" ht="29.25" customHeight="1" x14ac:dyDescent="0.25">
      <c r="A15" s="376">
        <v>1</v>
      </c>
      <c r="B15" s="706" t="s">
        <v>1363</v>
      </c>
      <c r="C15" s="706"/>
      <c r="D15" s="706"/>
      <c r="E15" s="283" t="s">
        <v>1383</v>
      </c>
      <c r="F15" s="284">
        <f ca="1">'НМЦ лота'!I15</f>
        <v>317.25196542017108</v>
      </c>
    </row>
    <row r="16" spans="1:6" ht="29.25" customHeight="1" x14ac:dyDescent="0.25">
      <c r="A16" s="377">
        <v>2</v>
      </c>
      <c r="B16" s="679" t="s">
        <v>1384</v>
      </c>
      <c r="C16" s="680"/>
      <c r="D16" s="681"/>
      <c r="E16" s="285"/>
      <c r="F16" s="286">
        <f ca="1">F15</f>
        <v>317.25196542017108</v>
      </c>
    </row>
    <row r="17" spans="1:9" ht="29.25" customHeight="1" x14ac:dyDescent="0.25">
      <c r="A17" s="287">
        <v>3</v>
      </c>
      <c r="B17" s="679" t="s">
        <v>1385</v>
      </c>
      <c r="C17" s="680"/>
      <c r="D17" s="681"/>
      <c r="E17" s="288"/>
      <c r="F17" s="289">
        <f>'Расчет стоимости'!E329</f>
        <v>3.53</v>
      </c>
    </row>
    <row r="18" spans="1:9" ht="29.25" customHeight="1" x14ac:dyDescent="0.25">
      <c r="A18" s="378">
        <v>4</v>
      </c>
      <c r="B18" s="679" t="s">
        <v>1386</v>
      </c>
      <c r="C18" s="680"/>
      <c r="D18" s="681"/>
      <c r="E18" s="290"/>
      <c r="F18" s="291">
        <f ca="1">ROUND(F16*F17,5)</f>
        <v>1119.8994399999999</v>
      </c>
    </row>
    <row r="19" spans="1:9" ht="29.25" customHeight="1" x14ac:dyDescent="0.25">
      <c r="A19" s="378">
        <v>5</v>
      </c>
      <c r="B19" s="679" t="str">
        <f>CONCATENATE("Индексы-дефляторы Минэкономразвития по строке ''Капвложения'' от 2012 до ",'НМЦ лота'!D21," года: ",ROUND('НМЦ лота'!E21,3))</f>
        <v>Индексы-дефляторы Минэкономразвития по строке ''Капвложения'' от 2012 до 2024 года: 1,892</v>
      </c>
      <c r="C19" s="680"/>
      <c r="D19" s="681"/>
      <c r="E19" s="290"/>
      <c r="F19" s="292">
        <f>'НМЦ лота'!E21</f>
        <v>1.8920478914785426</v>
      </c>
    </row>
    <row r="20" spans="1:9" ht="29.25" customHeight="1" x14ac:dyDescent="0.25">
      <c r="A20" s="378">
        <v>6</v>
      </c>
      <c r="B20" s="679" t="str">
        <f>CONCATENATE("Стоимость проектирования в ценах на перид проектирования в ",'НМЦ лота'!E10," году (НМЦ лота)")</f>
        <v>Стоимость проектирования в ценах на перид проектирования в 2024 году (НМЦ лота)</v>
      </c>
      <c r="C20" s="680"/>
      <c r="D20" s="681"/>
      <c r="E20" s="290"/>
      <c r="F20" s="291">
        <f ca="1">ROUND(F18*F19,5)</f>
        <v>2118.90337</v>
      </c>
    </row>
    <row r="21" spans="1:9" ht="29.25" customHeight="1" x14ac:dyDescent="0.25">
      <c r="A21" s="378">
        <v>7</v>
      </c>
      <c r="B21" s="679" t="str">
        <f>CONCATENATE("Коэффициент директивного снижения инвестиционных затрат в ",'НМЦ лота'!E10," году (в соответствии с действующей методикой снижения затрат)")</f>
        <v>Коэффициент директивного снижения инвестиционных затрат в 2024 году (в соответствии с действующей методикой снижения затрат)</v>
      </c>
      <c r="C21" s="680"/>
      <c r="D21" s="681"/>
      <c r="E21" s="290"/>
      <c r="F21" s="292">
        <f>'НМЦ лота'!E27</f>
        <v>0.7</v>
      </c>
    </row>
    <row r="22" spans="1:9" ht="29.25" customHeight="1" x14ac:dyDescent="0.25">
      <c r="A22" s="378">
        <v>8</v>
      </c>
      <c r="B22" s="679" t="str">
        <f>CONCATENATE("Стоимость проектирования в текущих (прогнозных) ценах с учетом снижения в ",'НМЦ лота'!E10," году (НМЦ лота с учетом снижения)")</f>
        <v>Стоимость проектирования в текущих (прогнозных) ценах с учетом снижения в 2024 году (НМЦ лота с учетом снижения)</v>
      </c>
      <c r="C22" s="680"/>
      <c r="D22" s="681"/>
      <c r="E22" s="290"/>
      <c r="F22" s="492">
        <f ca="1">ROUND(F20*F21,5)</f>
        <v>1483.23236</v>
      </c>
    </row>
    <row r="23" spans="1:9" ht="29.25" customHeight="1" x14ac:dyDescent="0.25">
      <c r="A23" s="378">
        <v>9</v>
      </c>
      <c r="B23" s="679" t="s">
        <v>1387</v>
      </c>
      <c r="C23" s="680"/>
      <c r="D23" s="681"/>
      <c r="E23" s="290"/>
      <c r="F23" s="291">
        <f ca="1">ROUND(F22*0.18,2)</f>
        <v>266.98</v>
      </c>
    </row>
    <row r="24" spans="1:9" ht="29.25" customHeight="1" thickBot="1" x14ac:dyDescent="0.3">
      <c r="A24" s="293">
        <v>10</v>
      </c>
      <c r="B24" s="682" t="s">
        <v>1388</v>
      </c>
      <c r="C24" s="683"/>
      <c r="D24" s="684"/>
      <c r="E24" s="294"/>
      <c r="F24" s="295">
        <f ca="1">SUM(F22:F23)</f>
        <v>1750.21236</v>
      </c>
    </row>
    <row r="25" spans="1:9" x14ac:dyDescent="0.25">
      <c r="A25" s="296"/>
      <c r="B25" s="296"/>
      <c r="C25" s="296"/>
      <c r="D25" s="296"/>
      <c r="E25" s="296"/>
      <c r="F25" s="296"/>
    </row>
    <row r="26" spans="1:9" x14ac:dyDescent="0.25">
      <c r="A26" s="453"/>
      <c r="B26" s="453" t="s">
        <v>1212</v>
      </c>
      <c r="C26" s="454"/>
      <c r="D26" s="454"/>
      <c r="E26" s="454"/>
      <c r="F26" s="455"/>
    </row>
    <row r="27" spans="1:9" x14ac:dyDescent="0.25">
      <c r="A27" s="453"/>
      <c r="B27" s="453"/>
      <c r="C27" s="453"/>
      <c r="D27" s="453"/>
      <c r="E27" s="453"/>
      <c r="F27" s="455"/>
    </row>
    <row r="28" spans="1:9" x14ac:dyDescent="0.25">
      <c r="A28" s="453"/>
      <c r="B28" s="453" t="s">
        <v>1340</v>
      </c>
      <c r="C28" s="454"/>
      <c r="D28" s="454"/>
      <c r="E28" s="454"/>
      <c r="F28" s="455"/>
    </row>
    <row r="29" spans="1:9" x14ac:dyDescent="0.25">
      <c r="A29" s="163"/>
      <c r="B29" s="163"/>
      <c r="C29" s="163"/>
      <c r="D29" s="163"/>
      <c r="E29" s="163"/>
      <c r="F29" s="163"/>
    </row>
    <row r="30" spans="1:9" x14ac:dyDescent="0.25">
      <c r="A30" s="163"/>
      <c r="B30" s="380" t="s">
        <v>1394</v>
      </c>
      <c r="C30" s="380"/>
      <c r="D30" s="381"/>
      <c r="E30" s="381"/>
      <c r="F30" s="381"/>
      <c r="G30" s="463"/>
      <c r="H30" s="463"/>
      <c r="I30" s="463"/>
    </row>
    <row r="31" spans="1:9" x14ac:dyDescent="0.25">
      <c r="A31" s="163"/>
      <c r="B31" s="380"/>
      <c r="C31" s="380"/>
      <c r="D31" s="381"/>
      <c r="E31" s="381"/>
      <c r="F31" s="381"/>
      <c r="G31" s="463"/>
      <c r="H31" s="463"/>
      <c r="I31" s="463"/>
    </row>
    <row r="32" spans="1:9" x14ac:dyDescent="0.25">
      <c r="B32" s="462"/>
      <c r="C32" s="462"/>
      <c r="D32" s="463"/>
      <c r="E32" s="463"/>
      <c r="F32" s="463"/>
      <c r="G32" s="463"/>
      <c r="H32" s="463"/>
      <c r="I32" s="463"/>
    </row>
    <row r="33" spans="2:9" x14ac:dyDescent="0.25">
      <c r="B33" s="464" t="str">
        <f>IF('Расчет стоимости'!$P$13&lt;35,"            ","СОГЛАСОВАНО:")</f>
        <v>СОГЛАСОВАНО:</v>
      </c>
      <c r="C33" s="145"/>
      <c r="D33" s="465"/>
      <c r="E33" s="463"/>
      <c r="F33" s="463"/>
      <c r="G33" s="463"/>
      <c r="H33" s="463"/>
      <c r="I33" s="463"/>
    </row>
    <row r="34" spans="2:9" x14ac:dyDescent="0.25">
      <c r="B34" s="464" t="str">
        <f>IF('Расчет стоимости'!$P$13&lt;35,"            ","Начальник департамента капитального строительства ''ПАО МРСК Северо-Запада''")</f>
        <v>Начальник департамента капитального строительства ''ПАО МРСК Северо-Запада''</v>
      </c>
      <c r="C34" s="466"/>
      <c r="D34" s="466"/>
      <c r="E34" s="463"/>
      <c r="F34" s="463" t="str">
        <f>IF('Расчет стоимости'!$P$13&lt;35,"      ","___________ /Э.Б. Михневич/")</f>
        <v>___________ /Э.Б. Михневич/</v>
      </c>
      <c r="G34" s="463"/>
      <c r="H34" s="145"/>
    </row>
    <row r="35" spans="2:9" x14ac:dyDescent="0.25">
      <c r="B35" s="464"/>
      <c r="C35" s="466"/>
      <c r="D35" s="466"/>
      <c r="E35" s="463"/>
      <c r="F35" s="463"/>
      <c r="G35" s="463"/>
      <c r="H35" s="145"/>
    </row>
    <row r="36" spans="2:9" x14ac:dyDescent="0.25">
      <c r="B36" s="464" t="str">
        <f>IF('Расчет стоимости'!$P$13&lt;35,"              ","Начальник отдела проектов и сметного нормирования")</f>
        <v>Начальник отдела проектов и сметного нормирования</v>
      </c>
      <c r="C36" s="466"/>
      <c r="D36" s="466"/>
      <c r="E36" s="463"/>
      <c r="F36" s="463" t="str">
        <f>IF('Расчет стоимости'!$P$13&lt;35,"      ","___________ /Т.В. Судакова/")</f>
        <v>___________ /Т.В. Судакова/</v>
      </c>
      <c r="G36" s="463"/>
      <c r="H36" s="145"/>
    </row>
  </sheetData>
  <sheetProtection formatCells="0" formatColumns="0" formatRows="0"/>
  <mergeCells count="20">
    <mergeCell ref="E1:F1"/>
    <mergeCell ref="E2:F3"/>
    <mergeCell ref="B16:D16"/>
    <mergeCell ref="E4:F4"/>
    <mergeCell ref="E5:F5"/>
    <mergeCell ref="A7:F7"/>
    <mergeCell ref="A8:F8"/>
    <mergeCell ref="A11:A14"/>
    <mergeCell ref="B11:D14"/>
    <mergeCell ref="E11:E14"/>
    <mergeCell ref="F11:F14"/>
    <mergeCell ref="B15:D15"/>
    <mergeCell ref="B23:D23"/>
    <mergeCell ref="B24:D24"/>
    <mergeCell ref="B17:D17"/>
    <mergeCell ref="B18:D18"/>
    <mergeCell ref="B19:D19"/>
    <mergeCell ref="B20:D20"/>
    <mergeCell ref="B21:D21"/>
    <mergeCell ref="B22:D22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theme="7" tint="0.59999389629810485"/>
  </sheetPr>
  <dimension ref="A1:Q42"/>
  <sheetViews>
    <sheetView topLeftCell="A7" workbookViewId="0">
      <selection activeCell="C8" sqref="C8"/>
    </sheetView>
  </sheetViews>
  <sheetFormatPr defaultRowHeight="15" x14ac:dyDescent="0.25"/>
  <cols>
    <col min="1" max="2" width="9.140625" style="154"/>
    <col min="3" max="3" width="45" style="154" customWidth="1"/>
    <col min="4" max="4" width="12.28515625" style="154" customWidth="1"/>
    <col min="5" max="9" width="18.42578125" style="154" customWidth="1"/>
    <col min="10" max="10" width="24.140625" style="154" customWidth="1"/>
    <col min="11" max="11" width="9.140625" style="154"/>
    <col min="12" max="12" width="11" style="154" bestFit="1" customWidth="1"/>
    <col min="13" max="16384" width="9.140625" style="154"/>
  </cols>
  <sheetData>
    <row r="1" spans="1:17" x14ac:dyDescent="0.25">
      <c r="A1" s="456"/>
      <c r="B1" s="730"/>
      <c r="C1" s="730"/>
      <c r="D1" s="468"/>
      <c r="E1" s="456"/>
      <c r="F1" s="456"/>
      <c r="G1" s="469"/>
      <c r="H1" s="457"/>
      <c r="I1" s="573" t="s">
        <v>1380</v>
      </c>
      <c r="J1" s="573"/>
      <c r="Q1" s="467"/>
    </row>
    <row r="2" spans="1:17" ht="45.75" customHeight="1" x14ac:dyDescent="0.25">
      <c r="A2" s="456"/>
      <c r="B2" s="752"/>
      <c r="C2" s="752"/>
      <c r="D2" s="470"/>
      <c r="E2" s="456"/>
      <c r="F2" s="456"/>
      <c r="G2" s="458"/>
      <c r="H2" s="577" t="str">
        <f>IF('Расчет стоимости'!$P$13&lt;35,"             ","Заместитель генерального директора по инвестиционной деятельности 
''ПАО МРСК Северо-Запада''")</f>
        <v>Заместитель генерального директора по инвестиционной деятельности 
''ПАО МРСК Северо-Запада''</v>
      </c>
      <c r="I2" s="577"/>
      <c r="J2" s="577"/>
    </row>
    <row r="3" spans="1:17" x14ac:dyDescent="0.25">
      <c r="A3" s="456"/>
      <c r="B3" s="370"/>
      <c r="C3" s="370"/>
      <c r="D3" s="470"/>
      <c r="E3" s="456"/>
      <c r="F3" s="456"/>
      <c r="G3" s="469"/>
      <c r="H3" s="375"/>
      <c r="I3" s="574" t="str">
        <f>IF('Расчет стоимости'!$P$13&lt;35,"________________________________ /___________/","________________________________ /B.B. Нестеренко/")</f>
        <v>________________________________ /B.B. Нестеренко/</v>
      </c>
      <c r="J3" s="575"/>
    </row>
    <row r="4" spans="1:17" x14ac:dyDescent="0.25">
      <c r="A4" s="456"/>
      <c r="B4" s="370"/>
      <c r="C4" s="370"/>
      <c r="D4" s="470"/>
      <c r="E4" s="456"/>
      <c r="F4" s="456"/>
      <c r="G4" s="469"/>
      <c r="H4" s="375"/>
      <c r="I4" s="685">
        <f ca="1">TODAY()</f>
        <v>43621</v>
      </c>
      <c r="J4" s="685"/>
    </row>
    <row r="5" spans="1:17" x14ac:dyDescent="0.25">
      <c r="A5" s="456"/>
      <c r="B5" s="753"/>
      <c r="C5" s="753"/>
      <c r="D5" s="471"/>
      <c r="E5" s="456"/>
      <c r="F5" s="456"/>
      <c r="G5" s="469"/>
      <c r="H5" s="460"/>
      <c r="I5" s="460"/>
      <c r="J5" s="460"/>
      <c r="Q5" s="467"/>
    </row>
    <row r="6" spans="1:17" x14ac:dyDescent="0.25">
      <c r="A6" s="754" t="s">
        <v>1398</v>
      </c>
      <c r="B6" s="754"/>
      <c r="C6" s="754"/>
      <c r="D6" s="754"/>
      <c r="E6" s="754"/>
      <c r="F6" s="754"/>
      <c r="G6" s="754"/>
      <c r="H6" s="754"/>
      <c r="I6" s="754"/>
      <c r="J6" s="754"/>
      <c r="Q6" s="467"/>
    </row>
    <row r="7" spans="1:17" x14ac:dyDescent="0.25">
      <c r="A7" s="754" t="str">
        <f>IF('Расчет стоимости'!C6="","",'Расчет стоимости'!C6)</f>
        <v>Техническое перевооружение ПС 110/6,6/6,3 кВ «Воргашорская»: замена ОД и КЗ 110 кВ на элегазовые выключатели 110 кВ (2 шт.) г. Воркута Республика Коми</v>
      </c>
      <c r="B7" s="754"/>
      <c r="C7" s="754"/>
      <c r="D7" s="754"/>
      <c r="E7" s="754"/>
      <c r="F7" s="754"/>
      <c r="G7" s="754"/>
      <c r="H7" s="754"/>
      <c r="I7" s="754"/>
      <c r="J7" s="754"/>
    </row>
    <row r="8" spans="1:17" x14ac:dyDescent="0.25">
      <c r="A8" s="472"/>
      <c r="B8" s="472"/>
      <c r="C8" s="163" t="str">
        <f>CONCATENATE("на основании укрупненного расчета стоимости с учетом действующей методики снижения инвестиционных затрат, с окончанием реализации в ",Снижение!E9," году. ")</f>
        <v xml:space="preserve">на основании укрупненного расчета стоимости с учетом действующей методики снижения инвестиционных затрат, с окончанием реализации в 2025 году. </v>
      </c>
      <c r="D8" s="472"/>
      <c r="E8" s="472"/>
      <c r="F8" s="472"/>
      <c r="G8" s="472"/>
      <c r="H8" s="472"/>
      <c r="I8" s="472"/>
      <c r="J8" s="472"/>
    </row>
    <row r="9" spans="1:17" ht="15.75" thickBot="1" x14ac:dyDescent="0.3">
      <c r="A9" s="281" t="str">
        <f>IF('Расчет стоимости'!C5="","",'Расчет стоимости'!C5)</f>
        <v>I_005-51-1-03.13-0007</v>
      </c>
      <c r="B9" s="281"/>
      <c r="C9" s="281"/>
      <c r="D9" s="281"/>
      <c r="E9" s="281"/>
      <c r="F9" s="281"/>
      <c r="G9" s="281"/>
      <c r="H9" s="281"/>
      <c r="I9" s="281"/>
      <c r="J9" s="281"/>
    </row>
    <row r="10" spans="1:17" x14ac:dyDescent="0.25">
      <c r="A10" s="755" t="s">
        <v>325</v>
      </c>
      <c r="B10" s="758" t="s">
        <v>1192</v>
      </c>
      <c r="C10" s="759"/>
      <c r="D10" s="760"/>
      <c r="E10" s="720" t="s">
        <v>184</v>
      </c>
      <c r="F10" s="720" t="s">
        <v>4</v>
      </c>
      <c r="G10" s="720" t="s">
        <v>259</v>
      </c>
      <c r="H10" s="720" t="s">
        <v>1193</v>
      </c>
      <c r="I10" s="720" t="s">
        <v>311</v>
      </c>
      <c r="J10" s="723" t="s">
        <v>1399</v>
      </c>
    </row>
    <row r="11" spans="1:17" x14ac:dyDescent="0.25">
      <c r="A11" s="756"/>
      <c r="B11" s="761"/>
      <c r="C11" s="762"/>
      <c r="D11" s="763"/>
      <c r="E11" s="721"/>
      <c r="F11" s="721"/>
      <c r="G11" s="721"/>
      <c r="H11" s="721"/>
      <c r="I11" s="721"/>
      <c r="J11" s="724"/>
    </row>
    <row r="12" spans="1:17" x14ac:dyDescent="0.25">
      <c r="A12" s="756"/>
      <c r="B12" s="761"/>
      <c r="C12" s="762"/>
      <c r="D12" s="763"/>
      <c r="E12" s="721"/>
      <c r="F12" s="721"/>
      <c r="G12" s="721"/>
      <c r="H12" s="721"/>
      <c r="I12" s="721"/>
      <c r="J12" s="724"/>
    </row>
    <row r="13" spans="1:17" ht="15.75" thickBot="1" x14ac:dyDescent="0.3">
      <c r="A13" s="757"/>
      <c r="B13" s="764"/>
      <c r="C13" s="765"/>
      <c r="D13" s="766"/>
      <c r="E13" s="722"/>
      <c r="F13" s="722"/>
      <c r="G13" s="722"/>
      <c r="H13" s="722"/>
      <c r="I13" s="722"/>
      <c r="J13" s="725"/>
    </row>
    <row r="14" spans="1:17" x14ac:dyDescent="0.25">
      <c r="A14" s="745">
        <v>1</v>
      </c>
      <c r="B14" s="746" t="s">
        <v>1400</v>
      </c>
      <c r="C14" s="747"/>
      <c r="D14" s="365" t="s">
        <v>310</v>
      </c>
      <c r="E14" s="366">
        <f ca="1">SUM('Расчет стоимости'!I332:J333)/(1+'Расчет стоимости'!$T$353)</f>
        <v>0</v>
      </c>
      <c r="F14" s="726">
        <f ca="1">'НМЦ лота'!G15</f>
        <v>2379.3799567752139</v>
      </c>
      <c r="G14" s="726">
        <f ca="1">'НМЦ лота'!H15</f>
        <v>158.61619883401636</v>
      </c>
      <c r="H14" s="726">
        <f ca="1">'НМЦ лота'!J15</f>
        <v>264.04579900474442</v>
      </c>
      <c r="I14" s="726">
        <f ca="1">'НМЦ лота'!I15</f>
        <v>317.25196542017108</v>
      </c>
      <c r="J14" s="727">
        <f ca="1">SUM(E14:E16,F14:I16)</f>
        <v>3872.76</v>
      </c>
    </row>
    <row r="15" spans="1:17" x14ac:dyDescent="0.25">
      <c r="A15" s="731"/>
      <c r="B15" s="748"/>
      <c r="C15" s="749"/>
      <c r="D15" s="365" t="s">
        <v>440</v>
      </c>
      <c r="E15" s="366">
        <f ca="1">SUM('Расчет стоимости'!I334:J335)/(1+'Расчет стоимости'!$T$353)</f>
        <v>0</v>
      </c>
      <c r="F15" s="708"/>
      <c r="G15" s="708"/>
      <c r="H15" s="708"/>
      <c r="I15" s="708"/>
      <c r="J15" s="728"/>
    </row>
    <row r="16" spans="1:17" x14ac:dyDescent="0.25">
      <c r="A16" s="731"/>
      <c r="B16" s="750"/>
      <c r="C16" s="751"/>
      <c r="D16" s="365" t="s">
        <v>187</v>
      </c>
      <c r="E16" s="366">
        <f ca="1">SUM('Расчет стоимости'!I336:J337)/(1+'Расчет стоимости'!$T$353)</f>
        <v>753.46607996585442</v>
      </c>
      <c r="F16" s="709"/>
      <c r="G16" s="709"/>
      <c r="H16" s="709"/>
      <c r="I16" s="709"/>
      <c r="J16" s="729"/>
    </row>
    <row r="17" spans="1:12" ht="15" customHeight="1" x14ac:dyDescent="0.25">
      <c r="A17" s="742">
        <v>2</v>
      </c>
      <c r="B17" s="736" t="s">
        <v>1401</v>
      </c>
      <c r="C17" s="737"/>
      <c r="D17" s="365" t="s">
        <v>1414</v>
      </c>
      <c r="E17" s="367">
        <f>'Расчет стоимости'!E332</f>
        <v>4.21</v>
      </c>
      <c r="F17" s="707">
        <f>'Расчет стоимости'!E338</f>
        <v>3.82</v>
      </c>
      <c r="G17" s="707">
        <f>'Расчет стоимости'!E341</f>
        <v>12.66</v>
      </c>
      <c r="H17" s="707">
        <f>'Расчет стоимости'!E344</f>
        <v>7.53</v>
      </c>
      <c r="I17" s="707">
        <f>'Расчет стоимости'!E329</f>
        <v>3.53</v>
      </c>
      <c r="J17" s="710"/>
    </row>
    <row r="18" spans="1:12" ht="25.5" x14ac:dyDescent="0.25">
      <c r="A18" s="743"/>
      <c r="B18" s="738"/>
      <c r="C18" s="739"/>
      <c r="D18" s="365" t="s">
        <v>1415</v>
      </c>
      <c r="E18" s="367">
        <f>'Расчет стоимости'!E333</f>
        <v>4.21</v>
      </c>
      <c r="F18" s="708"/>
      <c r="G18" s="708"/>
      <c r="H18" s="708"/>
      <c r="I18" s="708"/>
      <c r="J18" s="711"/>
    </row>
    <row r="19" spans="1:12" x14ac:dyDescent="0.25">
      <c r="A19" s="743"/>
      <c r="B19" s="738"/>
      <c r="C19" s="739"/>
      <c r="D19" s="365" t="s">
        <v>1416</v>
      </c>
      <c r="E19" s="367">
        <f>'Расчет стоимости'!E334</f>
        <v>4.1500000000000004</v>
      </c>
      <c r="F19" s="708"/>
      <c r="G19" s="708"/>
      <c r="H19" s="708"/>
      <c r="I19" s="708"/>
      <c r="J19" s="711"/>
    </row>
    <row r="20" spans="1:12" ht="25.5" x14ac:dyDescent="0.25">
      <c r="A20" s="743"/>
      <c r="B20" s="738"/>
      <c r="C20" s="739"/>
      <c r="D20" s="365" t="s">
        <v>1417</v>
      </c>
      <c r="E20" s="367">
        <f>'Расчет стоимости'!E335</f>
        <v>4.1500000000000004</v>
      </c>
      <c r="F20" s="708"/>
      <c r="G20" s="708"/>
      <c r="H20" s="708"/>
      <c r="I20" s="708"/>
      <c r="J20" s="711"/>
    </row>
    <row r="21" spans="1:12" x14ac:dyDescent="0.25">
      <c r="A21" s="743"/>
      <c r="B21" s="738"/>
      <c r="C21" s="739"/>
      <c r="D21" s="365" t="s">
        <v>1418</v>
      </c>
      <c r="E21" s="367">
        <f>'Расчет стоимости'!E336</f>
        <v>6.35</v>
      </c>
      <c r="F21" s="708"/>
      <c r="G21" s="708"/>
      <c r="H21" s="708"/>
      <c r="I21" s="708"/>
      <c r="J21" s="711"/>
    </row>
    <row r="22" spans="1:12" x14ac:dyDescent="0.25">
      <c r="A22" s="744"/>
      <c r="B22" s="740"/>
      <c r="C22" s="741"/>
      <c r="D22" s="489" t="s">
        <v>187</v>
      </c>
      <c r="E22" s="367">
        <f>'Расчет стоимости'!E337</f>
        <v>6.35</v>
      </c>
      <c r="F22" s="709"/>
      <c r="G22" s="709"/>
      <c r="H22" s="709"/>
      <c r="I22" s="709"/>
      <c r="J22" s="712"/>
    </row>
    <row r="23" spans="1:12" ht="30" customHeight="1" x14ac:dyDescent="0.25">
      <c r="A23" s="378">
        <v>3</v>
      </c>
      <c r="B23" s="714" t="s">
        <v>1402</v>
      </c>
      <c r="C23" s="715"/>
      <c r="D23" s="716"/>
      <c r="E23" s="367">
        <f ca="1">E14*E17+E15*E19+E16*E21</f>
        <v>4784.5096077831749</v>
      </c>
      <c r="F23" s="367">
        <f ca="1">F14*F17</f>
        <v>9089.2314348813161</v>
      </c>
      <c r="G23" s="367">
        <f ca="1">G14*G17</f>
        <v>2008.0810772386471</v>
      </c>
      <c r="H23" s="367">
        <f ca="1">'НМЦ лота'!J16</f>
        <v>1974.2747309552979</v>
      </c>
      <c r="I23" s="367">
        <f ca="1">I14*I17</f>
        <v>1119.8994379332039</v>
      </c>
      <c r="J23" s="490">
        <f ca="1">SUM(E23:I23)</f>
        <v>18975.996288791637</v>
      </c>
    </row>
    <row r="24" spans="1:12" ht="30" customHeight="1" x14ac:dyDescent="0.25">
      <c r="A24" s="378">
        <v>4</v>
      </c>
      <c r="B24" s="717" t="str">
        <f>CONCATENATE("Индексы-дефляторы Минэкономразвития от 2012 г. до года ввода объекта в эксплуатацию в ",Снижение!E9," г. ")</f>
        <v xml:space="preserve">Индексы-дефляторы Минэкономразвития от 2012 г. до года ввода объекта в эксплуатацию в 2025 г. </v>
      </c>
      <c r="C24" s="718"/>
      <c r="D24" s="719"/>
      <c r="E24" s="368">
        <f>'НМЦ лота'!E18</f>
        <v>1.9715139029206414</v>
      </c>
      <c r="F24" s="368">
        <f>'НМЦ лота'!E19</f>
        <v>1.9715139029206414</v>
      </c>
      <c r="G24" s="368">
        <f>'НМЦ лота'!E20</f>
        <v>1.9715139029206414</v>
      </c>
      <c r="H24" s="368">
        <f>'НМЦ лота'!E22</f>
        <v>1.9715139029206414</v>
      </c>
      <c r="I24" s="368">
        <f>'НМЦ лота'!E21</f>
        <v>1.8920478914785426</v>
      </c>
      <c r="J24" s="488"/>
    </row>
    <row r="25" spans="1:12" ht="30" customHeight="1" x14ac:dyDescent="0.25">
      <c r="A25" s="378">
        <v>5</v>
      </c>
      <c r="B25" s="679" t="str">
        <f>CONCATENATE("Плановая (предварительная) стоимость объекта в прогнозных ценах года окончания строительства в ",Снижение!E9," году ")</f>
        <v xml:space="preserve">Плановая (предварительная) стоимость объекта в прогнозных ценах года окончания строительства в 2025 году </v>
      </c>
      <c r="C25" s="680"/>
      <c r="D25" s="681"/>
      <c r="E25" s="367">
        <f ca="1">E23*E24</f>
        <v>9432.7272104019139</v>
      </c>
      <c r="F25" s="367">
        <f ca="1">F23*F24</f>
        <v>17919.546140731847</v>
      </c>
      <c r="G25" s="367">
        <f ca="1">G23*G24</f>
        <v>3958.9597619678511</v>
      </c>
      <c r="H25" s="367">
        <f ca="1">H23*H24</f>
        <v>3892.3100802632785</v>
      </c>
      <c r="I25" s="367">
        <f ca="1">I23*I24</f>
        <v>2118.9033702095235</v>
      </c>
      <c r="J25" s="490">
        <f ca="1">SUM(E25:I25)</f>
        <v>37322.446563574413</v>
      </c>
    </row>
    <row r="26" spans="1:12" ht="30" customHeight="1" x14ac:dyDescent="0.25">
      <c r="A26" s="378">
        <v>6</v>
      </c>
      <c r="B26" s="679" t="str">
        <f>CONCATENATE("Коэффициент снижения инвестиционных затрат, соответствующий году ввода объекта в эксплуатацию в  ",Снижение!E9," г. ")</f>
        <v xml:space="preserve">Коэффициент снижения инвестиционных затрат, соответствующий году ввода объекта в эксплуатацию в  2025 г. </v>
      </c>
      <c r="C26" s="680"/>
      <c r="D26" s="681"/>
      <c r="E26" s="368">
        <f>'НМЦ лота'!E24</f>
        <v>0.7</v>
      </c>
      <c r="F26" s="368">
        <f>'НМЦ лота'!E25</f>
        <v>0.7</v>
      </c>
      <c r="G26" s="368">
        <f>'НМЦ лота'!E26</f>
        <v>0.7</v>
      </c>
      <c r="H26" s="368">
        <f>'НМЦ лота'!E28</f>
        <v>0.7</v>
      </c>
      <c r="I26" s="368">
        <f>'НМЦ лота'!E27</f>
        <v>0.7</v>
      </c>
      <c r="J26" s="488"/>
    </row>
    <row r="27" spans="1:12" ht="30" customHeight="1" x14ac:dyDescent="0.25">
      <c r="A27" s="731">
        <v>7</v>
      </c>
      <c r="B27" s="679" t="s">
        <v>1403</v>
      </c>
      <c r="C27" s="680"/>
      <c r="D27" s="681"/>
      <c r="E27" s="367">
        <f ca="1">E25*E26</f>
        <v>6602.9090472813396</v>
      </c>
      <c r="F27" s="367">
        <f ca="1">F25*F26</f>
        <v>12543.682298512293</v>
      </c>
      <c r="G27" s="367">
        <f ca="1">G25*G26</f>
        <v>2771.2718333774956</v>
      </c>
      <c r="H27" s="367">
        <f ca="1">H25*H26</f>
        <v>2724.6170561842946</v>
      </c>
      <c r="I27" s="367">
        <f ca="1">I25*I26</f>
        <v>1483.2323591466663</v>
      </c>
      <c r="J27" s="488">
        <f ca="1">SUM(E27:I27)</f>
        <v>26125.712594502093</v>
      </c>
    </row>
    <row r="28" spans="1:12" ht="30" customHeight="1" thickBot="1" x14ac:dyDescent="0.3">
      <c r="A28" s="732"/>
      <c r="B28" s="733" t="s">
        <v>1404</v>
      </c>
      <c r="C28" s="734"/>
      <c r="D28" s="735"/>
      <c r="E28" s="369">
        <f ca="1">ROUND(E27*1.18,5)</f>
        <v>7791.4326799999999</v>
      </c>
      <c r="F28" s="369">
        <f t="shared" ref="F28:I28" ca="1" si="0">ROUND(F27*1.18,5)</f>
        <v>14801.545109999999</v>
      </c>
      <c r="G28" s="369">
        <f t="shared" ca="1" si="0"/>
        <v>3270.1007599999998</v>
      </c>
      <c r="H28" s="369">
        <f t="shared" ca="1" si="0"/>
        <v>3215.0481300000001</v>
      </c>
      <c r="I28" s="369">
        <f t="shared" ca="1" si="0"/>
        <v>1750.2141799999999</v>
      </c>
      <c r="J28" s="491">
        <f ca="1">SUM(E28:I28)</f>
        <v>30828.340859999997</v>
      </c>
      <c r="L28" s="487"/>
    </row>
    <row r="29" spans="1:12" x14ac:dyDescent="0.25">
      <c r="A29" s="296"/>
      <c r="B29" s="296"/>
      <c r="C29" s="296"/>
      <c r="D29" s="296"/>
      <c r="E29" s="296"/>
      <c r="F29" s="296"/>
      <c r="G29" s="296"/>
      <c r="H29" s="296"/>
      <c r="I29" s="296"/>
      <c r="J29" s="296"/>
    </row>
    <row r="30" spans="1:12" x14ac:dyDescent="0.25">
      <c r="A30" s="380" t="s">
        <v>1212</v>
      </c>
      <c r="B30" s="380"/>
      <c r="C30" s="381"/>
      <c r="D30" s="381"/>
      <c r="E30" s="381"/>
      <c r="F30" s="381"/>
      <c r="G30" s="381"/>
      <c r="H30" s="381"/>
      <c r="I30" s="381"/>
      <c r="J30" s="474"/>
    </row>
    <row r="31" spans="1:12" x14ac:dyDescent="0.25">
      <c r="A31" s="380"/>
      <c r="B31" s="380"/>
      <c r="C31" s="381"/>
      <c r="D31" s="381"/>
      <c r="E31" s="381"/>
      <c r="F31" s="381"/>
      <c r="G31" s="381"/>
      <c r="H31" s="381"/>
      <c r="I31" s="475"/>
      <c r="J31" s="475"/>
    </row>
    <row r="32" spans="1:12" x14ac:dyDescent="0.25">
      <c r="A32" s="380" t="s">
        <v>1340</v>
      </c>
      <c r="B32" s="380"/>
      <c r="C32" s="381"/>
      <c r="D32" s="381"/>
      <c r="E32" s="381"/>
      <c r="F32" s="381"/>
      <c r="G32" s="381"/>
      <c r="H32" s="381"/>
      <c r="I32" s="453"/>
      <c r="J32" s="474"/>
    </row>
    <row r="33" spans="1:10" x14ac:dyDescent="0.25">
      <c r="A33" s="380"/>
      <c r="B33" s="380"/>
      <c r="C33" s="381"/>
      <c r="D33" s="381"/>
      <c r="E33" s="381"/>
      <c r="F33" s="381"/>
      <c r="G33" s="381"/>
      <c r="H33" s="381"/>
      <c r="I33" s="453"/>
      <c r="J33" s="476"/>
    </row>
    <row r="34" spans="1:10" x14ac:dyDescent="0.25">
      <c r="A34" s="380" t="s">
        <v>1394</v>
      </c>
      <c r="B34" s="380"/>
      <c r="C34" s="381"/>
      <c r="D34" s="381"/>
      <c r="E34" s="381"/>
      <c r="F34" s="381"/>
      <c r="G34" s="381"/>
      <c r="H34" s="381"/>
      <c r="I34" s="473"/>
      <c r="J34" s="473"/>
    </row>
    <row r="35" spans="1:10" x14ac:dyDescent="0.25">
      <c r="A35" s="380"/>
      <c r="B35" s="380"/>
      <c r="C35" s="381"/>
      <c r="D35" s="381"/>
      <c r="E35" s="381"/>
      <c r="F35" s="381"/>
      <c r="G35" s="381"/>
      <c r="H35" s="381"/>
      <c r="I35" s="453"/>
      <c r="J35" s="453"/>
    </row>
    <row r="36" spans="1:10" x14ac:dyDescent="0.25">
      <c r="A36" s="462"/>
      <c r="B36" s="462"/>
      <c r="C36" s="463"/>
      <c r="D36" s="463"/>
      <c r="E36" s="463"/>
      <c r="F36" s="463"/>
      <c r="G36" s="463"/>
      <c r="H36" s="463"/>
    </row>
    <row r="37" spans="1:10" x14ac:dyDescent="0.25">
      <c r="A37" s="462"/>
      <c r="B37" s="462"/>
      <c r="C37" s="463"/>
      <c r="D37" s="463"/>
      <c r="E37" s="463"/>
      <c r="F37" s="463"/>
      <c r="G37" s="463"/>
      <c r="H37" s="463"/>
    </row>
    <row r="38" spans="1:10" x14ac:dyDescent="0.25">
      <c r="A38" s="465" t="str">
        <f>IF('Расчет стоимости'!$P$13&lt;35,"            ","СОГЛАСОВАНО:")</f>
        <v>СОГЛАСОВАНО:</v>
      </c>
      <c r="B38" s="145"/>
      <c r="C38" s="465"/>
      <c r="D38" s="463"/>
      <c r="E38" s="463"/>
      <c r="F38" s="463"/>
      <c r="G38" s="463"/>
      <c r="H38" s="463"/>
    </row>
    <row r="39" spans="1:10" x14ac:dyDescent="0.25">
      <c r="A39" s="464" t="str">
        <f>IF('Расчет стоимости'!$P$13&lt;35,"         ","Начальник департамента капитального строительства ''ПАО МРСК Северо-Запада''")</f>
        <v>Начальник департамента капитального строительства ''ПАО МРСК Северо-Запада''</v>
      </c>
      <c r="B39" s="466"/>
      <c r="C39" s="466"/>
      <c r="D39" s="463"/>
      <c r="E39" s="464"/>
      <c r="F39" s="463"/>
      <c r="G39" s="145"/>
      <c r="H39" s="463" t="str">
        <f>IF('Расчет стоимости'!$P$13&lt;35,"      ","___________ /Э.Б. Михневич/")</f>
        <v>___________ /Э.Б. Михневич/</v>
      </c>
    </row>
    <row r="40" spans="1:10" x14ac:dyDescent="0.25">
      <c r="A40" s="464"/>
      <c r="B40" s="466"/>
      <c r="C40" s="466"/>
      <c r="D40" s="463"/>
      <c r="E40" s="464"/>
      <c r="F40" s="463"/>
      <c r="G40" s="145"/>
      <c r="H40" s="463"/>
    </row>
    <row r="41" spans="1:10" x14ac:dyDescent="0.25">
      <c r="A41" s="464" t="str">
        <f>IF('Расчет стоимости'!$P$13&lt;35,"              ","Начальник отдела проектов и сметного нормирования")</f>
        <v>Начальник отдела проектов и сметного нормирования</v>
      </c>
      <c r="B41" s="466"/>
      <c r="C41" s="466"/>
      <c r="D41" s="463"/>
      <c r="E41" s="464"/>
      <c r="F41" s="463"/>
      <c r="G41" s="145"/>
      <c r="H41" s="463" t="str">
        <f>IF('Расчет стоимости'!$P$13&lt;35,"      ","___________ /Т.В. Судакова/")</f>
        <v>___________ /Т.В. Судакова/</v>
      </c>
    </row>
    <row r="42" spans="1:10" x14ac:dyDescent="0.25">
      <c r="A42" s="467"/>
      <c r="B42" s="713"/>
      <c r="C42" s="713"/>
      <c r="D42" s="463"/>
      <c r="E42" s="463"/>
      <c r="F42" s="463"/>
      <c r="G42" s="576"/>
      <c r="H42" s="576"/>
    </row>
  </sheetData>
  <mergeCells count="40">
    <mergeCell ref="B2:C2"/>
    <mergeCell ref="B5:C5"/>
    <mergeCell ref="A6:J6"/>
    <mergeCell ref="A7:J7"/>
    <mergeCell ref="A10:A13"/>
    <mergeCell ref="B10:D13"/>
    <mergeCell ref="E10:E13"/>
    <mergeCell ref="F10:F13"/>
    <mergeCell ref="G10:G13"/>
    <mergeCell ref="A14:A16"/>
    <mergeCell ref="B14:C16"/>
    <mergeCell ref="F14:F16"/>
    <mergeCell ref="G14:G16"/>
    <mergeCell ref="H14:H16"/>
    <mergeCell ref="A27:A28"/>
    <mergeCell ref="B27:D27"/>
    <mergeCell ref="B28:D28"/>
    <mergeCell ref="B17:C22"/>
    <mergeCell ref="A17:A22"/>
    <mergeCell ref="B42:C42"/>
    <mergeCell ref="G42:H42"/>
    <mergeCell ref="I1:J1"/>
    <mergeCell ref="H2:J2"/>
    <mergeCell ref="I3:J3"/>
    <mergeCell ref="I4:J4"/>
    <mergeCell ref="B23:D23"/>
    <mergeCell ref="B24:D24"/>
    <mergeCell ref="B25:D25"/>
    <mergeCell ref="B26:D26"/>
    <mergeCell ref="H10:H13"/>
    <mergeCell ref="I10:I13"/>
    <mergeCell ref="J10:J13"/>
    <mergeCell ref="I14:I16"/>
    <mergeCell ref="J14:J16"/>
    <mergeCell ref="B1:C1"/>
    <mergeCell ref="I17:I22"/>
    <mergeCell ref="H17:H22"/>
    <mergeCell ref="G17:G22"/>
    <mergeCell ref="F17:F22"/>
    <mergeCell ref="J17:J22"/>
  </mergeCells>
  <conditionalFormatting sqref="B2:B4">
    <cfRule type="expression" dxfId="8" priority="1232">
      <formula>$B$82="Исполнительный аппарат ОАО МРСК Северо-Запада"</formula>
    </cfRule>
    <cfRule type="expression" dxfId="7" priority="1233">
      <formula>$B$82="Филиал"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C13"/>
  <sheetViews>
    <sheetView workbookViewId="0">
      <selection activeCell="C8" sqref="C8"/>
    </sheetView>
  </sheetViews>
  <sheetFormatPr defaultRowHeight="15" x14ac:dyDescent="0.25"/>
  <cols>
    <col min="1" max="1" width="11" customWidth="1"/>
    <col min="2" max="2" width="42.85546875" customWidth="1"/>
    <col min="3" max="3" width="25.85546875" customWidth="1"/>
  </cols>
  <sheetData>
    <row r="1" spans="1:3" ht="50.25" customHeight="1" x14ac:dyDescent="0.25">
      <c r="A1" s="767" t="str">
        <f>CONCATENATE("Калькуляция стоимости услуги по освобождение земельного участка от электрических сетей в рамках реализации инвестиционного проекта ",'Расчет стоимости'!C5,". ''",'Расчет стоимости'!C6,"''")</f>
        <v>Калькуляция стоимости услуги по освобождение земельного участка от электрических сетей в рамках реализации инвестиционного проекта I_005-51-1-03.13-0007. ''Техническое перевооружение ПС 110/6,6/6,3 кВ «Воргашорская»: замена ОД и КЗ 110 кВ на элегазовые выключатели 110 кВ (2 шт.) г. Воркута Республика Коми''</v>
      </c>
      <c r="B1" s="767"/>
      <c r="C1" s="767"/>
    </row>
    <row r="2" spans="1:3" x14ac:dyDescent="0.25">
      <c r="A2" s="270" t="s">
        <v>1359</v>
      </c>
      <c r="B2" s="270" t="s">
        <v>1360</v>
      </c>
      <c r="C2" s="270" t="s">
        <v>1361</v>
      </c>
    </row>
    <row r="3" spans="1:3" x14ac:dyDescent="0.25">
      <c r="A3" s="270">
        <v>1</v>
      </c>
      <c r="B3" s="271" t="s">
        <v>1362</v>
      </c>
      <c r="C3" s="272">
        <f ca="1">ROUND(SUM('Расчет стоимости'!I358:J363)*0.2/0.8+SUM('Расчет стоимости'!I358:J363),5)</f>
        <v>12051.375</v>
      </c>
    </row>
    <row r="4" spans="1:3" x14ac:dyDescent="0.25">
      <c r="A4" s="270">
        <v>2</v>
      </c>
      <c r="B4" s="271" t="s">
        <v>4</v>
      </c>
      <c r="C4" s="272">
        <f ca="1">ROUND(SUM('Расчет стоимости'!I364:J366)*0.2/0.8+SUM('Расчет стоимости'!I364:J366),5)</f>
        <v>22894.224999999999</v>
      </c>
    </row>
    <row r="5" spans="1:3" x14ac:dyDescent="0.25">
      <c r="A5" s="270">
        <v>3</v>
      </c>
      <c r="B5" s="271" t="s">
        <v>1363</v>
      </c>
      <c r="C5" s="272">
        <f ca="1">ROUND(SUM('Расчет стоимости'!I355:J357)*0.2/0.8+SUM('Расчет стоимости'!I355:J357),5)</f>
        <v>2820.8375000000001</v>
      </c>
    </row>
    <row r="6" spans="1:3" x14ac:dyDescent="0.25">
      <c r="A6" s="270">
        <v>4</v>
      </c>
      <c r="B6" s="271" t="s">
        <v>1193</v>
      </c>
      <c r="C6" s="272">
        <f ca="1">ROUND(SUM('Расчет стоимости'!I367:J372)*0.2/0.8+SUM('Расчет стоимости'!I367:J372),5)</f>
        <v>11827.55</v>
      </c>
    </row>
    <row r="7" spans="1:3" x14ac:dyDescent="0.25">
      <c r="A7" s="271"/>
      <c r="B7" s="271" t="s">
        <v>1201</v>
      </c>
      <c r="C7" s="272">
        <f ca="1">SUM(C3:C6)</f>
        <v>49593.987500000003</v>
      </c>
    </row>
    <row r="8" spans="1:3" x14ac:dyDescent="0.25">
      <c r="A8" s="271"/>
      <c r="B8" s="271" t="s">
        <v>1364</v>
      </c>
      <c r="C8" s="272">
        <f ca="1">ROUND(C7*0.18,5)</f>
        <v>8926.9177500000005</v>
      </c>
    </row>
    <row r="9" spans="1:3" x14ac:dyDescent="0.25">
      <c r="A9" s="271"/>
      <c r="B9" s="271" t="s">
        <v>1365</v>
      </c>
      <c r="C9" s="272">
        <f ca="1">SUM(C7:C8)</f>
        <v>58520.905250000003</v>
      </c>
    </row>
    <row r="10" spans="1:3" x14ac:dyDescent="0.25">
      <c r="A10" s="273"/>
      <c r="B10" s="273"/>
      <c r="C10" s="273"/>
    </row>
    <row r="11" spans="1:3" x14ac:dyDescent="0.25">
      <c r="A11" s="273" t="s">
        <v>1212</v>
      </c>
      <c r="B11" s="273"/>
      <c r="C11" s="274"/>
    </row>
    <row r="12" spans="1:3" x14ac:dyDescent="0.25">
      <c r="A12" s="273"/>
      <c r="B12" s="273"/>
      <c r="C12" s="273"/>
    </row>
    <row r="13" spans="1:3" x14ac:dyDescent="0.25">
      <c r="A13" s="273" t="s">
        <v>1340</v>
      </c>
      <c r="B13" s="275"/>
      <c r="C13" s="274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55</vt:i4>
      </vt:variant>
    </vt:vector>
  </HeadingPairs>
  <TitlesOfParts>
    <vt:vector size="67" baseType="lpstr">
      <vt:lpstr>Расчет стоимости</vt:lpstr>
      <vt:lpstr>Снижение</vt:lpstr>
      <vt:lpstr>НМЦ лота</vt:lpstr>
      <vt:lpstr>ССР</vt:lpstr>
      <vt:lpstr>Таблица</vt:lpstr>
      <vt:lpstr>Регионы</vt:lpstr>
      <vt:lpstr>НМЦ лота на ПИР</vt:lpstr>
      <vt:lpstr>НМЦ лота "под ключ"</vt:lpstr>
      <vt:lpstr>Калькуляция для выноса</vt:lpstr>
      <vt:lpstr>Лист1</vt:lpstr>
      <vt:lpstr>Расчет с НДС</vt:lpstr>
      <vt:lpstr>Удельники</vt:lpstr>
      <vt:lpstr>Большие_переходы</vt:lpstr>
      <vt:lpstr>ветер</vt:lpstr>
      <vt:lpstr>Воздушные_линии</vt:lpstr>
      <vt:lpstr>Восстановление_покрытий</vt:lpstr>
      <vt:lpstr>Выключатели</vt:lpstr>
      <vt:lpstr>Демонтаж_ВЛ</vt:lpstr>
      <vt:lpstr>Демонтаж_ВЛ_0_4_10_кВ_поопорно</vt:lpstr>
      <vt:lpstr>Демонтаж_ж_б_опор_ВЛ_35_220_кВ__тыс._руб._за_1_м3</vt:lpstr>
      <vt:lpstr>Демонтаж_оборудования_ПС</vt:lpstr>
      <vt:lpstr>Демонтаж_стальных_опор_ВЛ_35_220_кВ__тыс._руб._за_1_т</vt:lpstr>
      <vt:lpstr>Закрытые_подстанции_35_220_кВ_с_открытой_установкой_трансформаторов__элегазовое_и_зарубежное_оборудование</vt:lpstr>
      <vt:lpstr>Закрытые_подстанции_в_целом</vt:lpstr>
      <vt:lpstr>Затраты_на_вырубку_просеки</vt:lpstr>
      <vt:lpstr>Затраты_на_устройство_лежневых_дорог</vt:lpstr>
      <vt:lpstr>Здания_КРУЭ__ЗРУ__укомплектованных_оборудованием</vt:lpstr>
      <vt:lpstr>Зоны</vt:lpstr>
      <vt:lpstr>Кабельные_линии</vt:lpstr>
      <vt:lpstr>Кварталы</vt:lpstr>
      <vt:lpstr>Компенсаторы</vt:lpstr>
      <vt:lpstr>Комплектные_трансформаторные_устройства</vt:lpstr>
      <vt:lpstr>'Калькуляция для выноса'!Область_печати</vt:lpstr>
      <vt:lpstr>'НМЦ лота'!Область_печати</vt:lpstr>
      <vt:lpstr>'НМЦ лота на ПИР'!Область_печати</vt:lpstr>
      <vt:lpstr>'Расчет стоимости'!Область_печати</vt:lpstr>
      <vt:lpstr>Снижение!Область_печати</vt:lpstr>
      <vt:lpstr>ССР!Область_печати</vt:lpstr>
      <vt:lpstr>ОРУ_по_блочным_и_мостиковым_схемам</vt:lpstr>
      <vt:lpstr>Отвод_земель_ПС_20</vt:lpstr>
      <vt:lpstr>Отвод_земель_ПС_35_220</vt:lpstr>
      <vt:lpstr>Открытые_подстанции_35_220_кВ_в_целом__элегазовое_и_зарубежное_оборудование</vt:lpstr>
      <vt:lpstr>Открытые_подстанции_в_целом</vt:lpstr>
      <vt:lpstr>Под_напр_ВЛ</vt:lpstr>
      <vt:lpstr>Под_напр_КЛ</vt:lpstr>
      <vt:lpstr>Подвеска_ВОЛС_на_существующих_опорах</vt:lpstr>
      <vt:lpstr>Постоянная_часть_закрытых_ПС</vt:lpstr>
      <vt:lpstr>Постоянная_часть_открытых_ПС</vt:lpstr>
      <vt:lpstr>Постоянный_отвод_земель_ВЛ</vt:lpstr>
      <vt:lpstr>Постоянный_отвод_земель_под_КЛ</vt:lpstr>
      <vt:lpstr>Прокладка_ВОЛС_в_траншее</vt:lpstr>
      <vt:lpstr>Противоаварийная_автоматика_ПС</vt:lpstr>
      <vt:lpstr>Расчет_реконструкции</vt:lpstr>
      <vt:lpstr>Расширение_ПС</vt:lpstr>
      <vt:lpstr>Реакторы</vt:lpstr>
      <vt:lpstr>Регионы</vt:lpstr>
      <vt:lpstr>Регионы_таблица</vt:lpstr>
      <vt:lpstr>Сегменты</vt:lpstr>
      <vt:lpstr>Сейсмика_зданий</vt:lpstr>
      <vt:lpstr>Сейсмика_линий</vt:lpstr>
      <vt:lpstr>Стоимость_специальных_переходов</vt:lpstr>
      <vt:lpstr>Таблица_индексов</vt:lpstr>
      <vt:lpstr>Таблица_регионов</vt:lpstr>
      <vt:lpstr>Тип_ПС</vt:lpstr>
      <vt:lpstr>Трансформаторы</vt:lpstr>
      <vt:lpstr>Условия_ВЛ</vt:lpstr>
      <vt:lpstr>Условия_КЛ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Шаяхметов Андрей Валерьевич</cp:lastModifiedBy>
  <cp:lastPrinted>2018-01-15T08:51:23Z</cp:lastPrinted>
  <dcterms:created xsi:type="dcterms:W3CDTF">2012-12-15T10:24:53Z</dcterms:created>
  <dcterms:modified xsi:type="dcterms:W3CDTF">2019-06-05T08:28:09Z</dcterms:modified>
</cp:coreProperties>
</file>